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FA57305E-FD6C-4EDB-A5C6-8F4D0269C0E8}" xr6:coauthVersionLast="47" xr6:coauthVersionMax="47" xr10:uidLastSave="{00000000-0000-0000-0000-000000000000}"/>
  <bookViews>
    <workbookView xWindow="19090" yWindow="-110" windowWidth="19420" windowHeight="10420" tabRatio="663" xr2:uid="{00000000-000D-0000-FFFF-FFFF00000000}"/>
  </bookViews>
  <sheets>
    <sheet name="Welcome" sheetId="1" r:id="rId1"/>
    <sheet name="Summary" sheetId="2" r:id="rId2"/>
    <sheet name="June 2009 Summary" sheetId="3" state="hidden" r:id="rId3"/>
    <sheet name="Sewer &amp; Water" sheetId="4" r:id="rId4"/>
    <sheet name="Open Space" sheetId="5" r:id="rId5"/>
    <sheet name="Car Parking" sheetId="6" r:id="rId6"/>
    <sheet name="Roads" sheetId="7" r:id="rId7"/>
    <sheet name="Storm Water" sheetId="8" r:id="rId8"/>
    <sheet name="Waiver 1, 2 and 3" sheetId="9" r:id="rId9"/>
    <sheet name="Waiver 4" sheetId="10" r:id="rId10"/>
    <sheet name="Waiver 6" sheetId="11" r:id="rId11"/>
    <sheet name="Amendments" sheetId="12" r:id="rId12"/>
  </sheets>
  <definedNames>
    <definedName name="_xlnm._FilterDatabase" localSheetId="10" hidden="1">'Waiver 6'!$B$180:$K$255</definedName>
    <definedName name="_xlnm.Print_Area" localSheetId="5">'Car Parking'!$A$1:$M$19</definedName>
    <definedName name="_xlnm.Print_Area" localSheetId="2">'June 2009 Summary'!$A$1:$K$45</definedName>
    <definedName name="_xlnm.Print_Area" localSheetId="4">'Open Space'!$A$1:$L$19</definedName>
    <definedName name="_xlnm.Print_Area" localSheetId="6">Roads!$A$1:$M$39</definedName>
    <definedName name="_xlnm.Print_Area" localSheetId="3">'Sewer &amp; Water'!$A$1:$P$38</definedName>
    <definedName name="_xlnm.Print_Area" localSheetId="7">'Storm Water'!$A$1:$M$31</definedName>
    <definedName name="_xlnm.Print_Area" localSheetId="1">Summary!$A$1:$J$33</definedName>
    <definedName name="_xlnm.Print_Area" localSheetId="8">'Waiver 1, 2 and 3'!$A$1:$M$72</definedName>
    <definedName name="_xlnm.Print_Area" localSheetId="9">'Waiver 4'!$A$1:$K$13</definedName>
    <definedName name="_xlnm.Print_Area" localSheetId="10">'Waiver 6'!$A$1:$P$138</definedName>
    <definedName name="_xlnm.Print_Area" localSheetId="0">Welcome!$A$1:$O$45</definedName>
    <definedName name="Z_27B7C317_A4C8_4AFE_A1B4_96A5038E57EE_.wvu.Cols" localSheetId="5" hidden="1">'Car Parking'!$S:$S</definedName>
    <definedName name="Z_27B7C317_A4C8_4AFE_A1B4_96A5038E57EE_.wvu.Cols" localSheetId="6" hidden="1">Roads!$S:$S</definedName>
    <definedName name="Z_27B7C317_A4C8_4AFE_A1B4_96A5038E57EE_.wvu.Cols" localSheetId="3" hidden="1">'Sewer &amp; Water'!$T:$Y</definedName>
    <definedName name="Z_27B7C317_A4C8_4AFE_A1B4_96A5038E57EE_.wvu.Cols" localSheetId="7" hidden="1">'Storm Water'!$W:$W</definedName>
    <definedName name="Z_27B7C317_A4C8_4AFE_A1B4_96A5038E57EE_.wvu.Cols" localSheetId="8" hidden="1">'Waiver 1, 2 and 3'!$P:$P</definedName>
    <definedName name="Z_27B7C317_A4C8_4AFE_A1B4_96A5038E57EE_.wvu.Cols" localSheetId="9" hidden="1">'Waiver 4'!$U:$U</definedName>
    <definedName name="Z_27B7C317_A4C8_4AFE_A1B4_96A5038E57EE_.wvu.FilterData" localSheetId="10" hidden="1">'Waiver 6'!$B$180:$K$255</definedName>
    <definedName name="Z_27B7C317_A4C8_4AFE_A1B4_96A5038E57EE_.wvu.PrintArea" localSheetId="5" hidden="1">'Car Parking'!$A$1:$M$19</definedName>
    <definedName name="Z_27B7C317_A4C8_4AFE_A1B4_96A5038E57EE_.wvu.PrintArea" localSheetId="2" hidden="1">'June 2009 Summary'!$A$1:$K$45</definedName>
    <definedName name="Z_27B7C317_A4C8_4AFE_A1B4_96A5038E57EE_.wvu.PrintArea" localSheetId="4" hidden="1">'Open Space'!$A$1:$L$19</definedName>
    <definedName name="Z_27B7C317_A4C8_4AFE_A1B4_96A5038E57EE_.wvu.PrintArea" localSheetId="6" hidden="1">Roads!$A$1:$N$40</definedName>
    <definedName name="Z_27B7C317_A4C8_4AFE_A1B4_96A5038E57EE_.wvu.PrintArea" localSheetId="3" hidden="1">'Sewer &amp; Water'!$A$1:$Q$39</definedName>
    <definedName name="Z_27B7C317_A4C8_4AFE_A1B4_96A5038E57EE_.wvu.PrintArea" localSheetId="7" hidden="1">'Storm Water'!$A$1:$O$31</definedName>
    <definedName name="Z_27B7C317_A4C8_4AFE_A1B4_96A5038E57EE_.wvu.PrintArea" localSheetId="1" hidden="1">Summary!$A$1:$K$46</definedName>
    <definedName name="Z_27B7C317_A4C8_4AFE_A1B4_96A5038E57EE_.wvu.PrintArea" localSheetId="0" hidden="1">Welcome!$A$1:$O$45</definedName>
    <definedName name="Z_27B7C317_A4C8_4AFE_A1B4_96A5038E57EE_.wvu.Rows" localSheetId="1" hidden="1">Summary!$19:$33</definedName>
  </definedNames>
  <calcPr calcId="191029"/>
  <customWorkbookViews>
    <customWorkbookView name="Kam Maula - Personal View" guid="{27B7C317-A4C8-4AFE-A1B4-96A5038E57EE}" mergeInterval="0" personalView="1" maximized="1" windowWidth="1020" windowHeight="539" tabRatio="66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B2" i="2" l="1"/>
  <c r="I31" i="7"/>
  <c r="I30" i="7"/>
  <c r="H14" i="6"/>
  <c r="I14" i="6"/>
  <c r="H13" i="5"/>
  <c r="I13" i="5" s="1"/>
  <c r="J13" i="5" s="1"/>
  <c r="C17" i="5" s="1"/>
  <c r="F24" i="3" s="1"/>
  <c r="H24" i="3" s="1"/>
  <c r="F14" i="2"/>
  <c r="H14" i="2" s="1"/>
  <c r="F15" i="6"/>
  <c r="H13" i="6"/>
  <c r="F14" i="5"/>
  <c r="H12" i="5"/>
  <c r="J28" i="7"/>
  <c r="F28" i="7"/>
  <c r="K28" i="7" s="1"/>
  <c r="E19" i="7"/>
  <c r="D22" i="7" s="1"/>
  <c r="E20" i="7"/>
  <c r="H20" i="7" s="1"/>
  <c r="I20" i="7" s="1"/>
  <c r="E21" i="7"/>
  <c r="H21" i="7" s="1"/>
  <c r="I21" i="7" s="1"/>
  <c r="E13" i="7"/>
  <c r="H13" i="7"/>
  <c r="I13" i="7" s="1"/>
  <c r="G42" i="9" s="1"/>
  <c r="M42" i="9" s="1"/>
  <c r="J29" i="7"/>
  <c r="K29" i="7"/>
  <c r="F29" i="7"/>
  <c r="J30" i="7"/>
  <c r="K30" i="7" s="1"/>
  <c r="F30" i="7"/>
  <c r="J31" i="7"/>
  <c r="F31" i="7"/>
  <c r="K31" i="7"/>
  <c r="J40" i="11"/>
  <c r="K40" i="11" s="1"/>
  <c r="G65" i="11" s="1"/>
  <c r="J41" i="11"/>
  <c r="K41" i="11" s="1"/>
  <c r="J42" i="11"/>
  <c r="K42" i="11" s="1"/>
  <c r="J43" i="11"/>
  <c r="K43" i="11" s="1"/>
  <c r="J44" i="11"/>
  <c r="K44" i="11" s="1"/>
  <c r="G69" i="11" s="1"/>
  <c r="H31" i="4"/>
  <c r="E31" i="4"/>
  <c r="I31" i="4" s="1"/>
  <c r="AD87" i="4"/>
  <c r="F10" i="4" s="1"/>
  <c r="F11" i="4"/>
  <c r="I11" i="4" s="1"/>
  <c r="J11" i="4" s="1"/>
  <c r="AE87" i="4"/>
  <c r="AK87" i="4" s="1"/>
  <c r="F12" i="4"/>
  <c r="I12" i="4" s="1"/>
  <c r="J12" i="4" s="1"/>
  <c r="F13" i="4"/>
  <c r="I13" i="4" s="1"/>
  <c r="J13" i="4" s="1"/>
  <c r="F14" i="4"/>
  <c r="I14" i="4" s="1"/>
  <c r="J14" i="4" s="1"/>
  <c r="F23" i="4"/>
  <c r="I23" i="4" s="1"/>
  <c r="J23" i="4" s="1"/>
  <c r="F24" i="4"/>
  <c r="I24" i="4" s="1"/>
  <c r="J24" i="4" s="1"/>
  <c r="C9" i="10"/>
  <c r="U14" i="4"/>
  <c r="U13" i="4"/>
  <c r="U12" i="4"/>
  <c r="U11" i="4"/>
  <c r="U10" i="4"/>
  <c r="C10" i="10"/>
  <c r="C11" i="10"/>
  <c r="C12" i="10"/>
  <c r="G32" i="4"/>
  <c r="H32" i="4"/>
  <c r="E32" i="4"/>
  <c r="C296" i="11"/>
  <c r="G285" i="11" s="1"/>
  <c r="J53" i="11"/>
  <c r="K53" i="11" s="1"/>
  <c r="H26" i="8"/>
  <c r="E26" i="8"/>
  <c r="I19" i="8"/>
  <c r="J19" i="8" s="1"/>
  <c r="I18" i="8"/>
  <c r="J18" i="8" s="1"/>
  <c r="J21" i="8" s="1"/>
  <c r="I20" i="8"/>
  <c r="J20" i="8"/>
  <c r="I11" i="8"/>
  <c r="J11" i="8"/>
  <c r="I12" i="8"/>
  <c r="J12" i="8" s="1"/>
  <c r="J54" i="11"/>
  <c r="K54" i="11" s="1"/>
  <c r="J55" i="11"/>
  <c r="K55" i="11" s="1"/>
  <c r="I74" i="11" s="1"/>
  <c r="J56" i="11"/>
  <c r="K56" i="11" s="1"/>
  <c r="J57" i="11"/>
  <c r="K57" i="11" s="1"/>
  <c r="J86" i="11"/>
  <c r="K86" i="11" s="1"/>
  <c r="J87" i="11"/>
  <c r="K87" i="11" s="1"/>
  <c r="F112" i="11" s="1"/>
  <c r="J88" i="11"/>
  <c r="K88" i="11" s="1"/>
  <c r="I113" i="11" s="1"/>
  <c r="J89" i="11"/>
  <c r="K89" i="11" s="1"/>
  <c r="J90" i="11"/>
  <c r="K90" i="11" s="1"/>
  <c r="F99" i="11"/>
  <c r="J99" i="11"/>
  <c r="K99" i="11" s="1"/>
  <c r="F100" i="11"/>
  <c r="J100" i="11"/>
  <c r="K100" i="11" s="1"/>
  <c r="J101" i="11"/>
  <c r="K101" i="11" s="1"/>
  <c r="J102" i="11"/>
  <c r="K102" i="11" s="1"/>
  <c r="I121" i="11" s="1"/>
  <c r="J103" i="11"/>
  <c r="K103" i="11" s="1"/>
  <c r="C129" i="11"/>
  <c r="E136" i="11" s="1"/>
  <c r="Q32" i="2" s="1"/>
  <c r="G32" i="2" s="1"/>
  <c r="O40" i="11"/>
  <c r="P40" i="11" s="1"/>
  <c r="J65" i="11" s="1"/>
  <c r="O41" i="11"/>
  <c r="P41" i="11" s="1"/>
  <c r="J66" i="11" s="1"/>
  <c r="O42" i="11"/>
  <c r="P42" i="11" s="1"/>
  <c r="J67" i="11" s="1"/>
  <c r="O43" i="11"/>
  <c r="P43" i="11" s="1"/>
  <c r="J68" i="11" s="1"/>
  <c r="O44" i="11"/>
  <c r="P44" i="11" s="1"/>
  <c r="J69" i="11" s="1"/>
  <c r="O86" i="11"/>
  <c r="P86" i="11" s="1"/>
  <c r="J111" i="11" s="1"/>
  <c r="O87" i="11"/>
  <c r="P87" i="11" s="1"/>
  <c r="J112" i="11" s="1"/>
  <c r="O88" i="11"/>
  <c r="P88" i="11" s="1"/>
  <c r="J113" i="11" s="1"/>
  <c r="O89" i="11"/>
  <c r="P89" i="11" s="1"/>
  <c r="J114" i="11" s="1"/>
  <c r="O90" i="11"/>
  <c r="P90" i="11" s="1"/>
  <c r="J115" i="11" s="1"/>
  <c r="F53" i="11"/>
  <c r="V11" i="4"/>
  <c r="D296" i="11"/>
  <c r="B138" i="11"/>
  <c r="F41" i="11"/>
  <c r="F40" i="11"/>
  <c r="W40" i="11" s="1"/>
  <c r="AD91" i="4"/>
  <c r="AJ91" i="4" s="1"/>
  <c r="AE91" i="4"/>
  <c r="AK91" i="4" s="1"/>
  <c r="F54" i="11"/>
  <c r="F55" i="11"/>
  <c r="F56" i="11"/>
  <c r="F44" i="11"/>
  <c r="F42" i="11"/>
  <c r="F43" i="11"/>
  <c r="K45" i="11"/>
  <c r="K58" i="11"/>
  <c r="F86" i="11"/>
  <c r="K91" i="11"/>
  <c r="K104" i="11"/>
  <c r="H123" i="11" s="1"/>
  <c r="M90" i="11"/>
  <c r="M89" i="11"/>
  <c r="M88" i="11"/>
  <c r="M87" i="11"/>
  <c r="M86" i="11"/>
  <c r="M44" i="11"/>
  <c r="M43" i="11"/>
  <c r="M42" i="11"/>
  <c r="M41" i="11"/>
  <c r="M40" i="11"/>
  <c r="AD85" i="4"/>
  <c r="AE85" i="4"/>
  <c r="AD86" i="4"/>
  <c r="AJ86" i="4"/>
  <c r="AE86" i="4"/>
  <c r="AK86" i="4"/>
  <c r="V10" i="4"/>
  <c r="Q96" i="7"/>
  <c r="R96" i="7"/>
  <c r="F87" i="11"/>
  <c r="P45" i="11"/>
  <c r="J70" i="11" s="1"/>
  <c r="P91" i="11"/>
  <c r="J116" i="11" s="1"/>
  <c r="AD84" i="4"/>
  <c r="AJ84" i="4"/>
  <c r="AE84" i="4"/>
  <c r="AK84" i="4"/>
  <c r="L40" i="9"/>
  <c r="L41" i="9"/>
  <c r="L42" i="9"/>
  <c r="C24" i="9"/>
  <c r="C63" i="9"/>
  <c r="T77" i="8"/>
  <c r="T74" i="8"/>
  <c r="J15" i="4"/>
  <c r="B38" i="11"/>
  <c r="B51" i="11"/>
  <c r="H38" i="11"/>
  <c r="H84" i="11" s="1"/>
  <c r="H40" i="11"/>
  <c r="L40" i="11"/>
  <c r="H41" i="11"/>
  <c r="L41" i="11"/>
  <c r="H42" i="11"/>
  <c r="L42" i="11"/>
  <c r="H43" i="11"/>
  <c r="L43" i="11"/>
  <c r="H44" i="11"/>
  <c r="L44" i="11"/>
  <c r="H53" i="11"/>
  <c r="H54" i="11"/>
  <c r="H55" i="11"/>
  <c r="H56" i="11"/>
  <c r="F57" i="11"/>
  <c r="H57" i="11"/>
  <c r="B65" i="11"/>
  <c r="B66" i="11"/>
  <c r="B67" i="11"/>
  <c r="B68" i="11"/>
  <c r="B69" i="11"/>
  <c r="B70" i="11"/>
  <c r="B72" i="11"/>
  <c r="B73" i="11"/>
  <c r="B74" i="11"/>
  <c r="B75" i="11"/>
  <c r="B76" i="11"/>
  <c r="B77" i="11"/>
  <c r="H86" i="11"/>
  <c r="L86" i="11"/>
  <c r="W86" i="11"/>
  <c r="H87" i="11"/>
  <c r="L87" i="11"/>
  <c r="F88" i="11"/>
  <c r="H88" i="11"/>
  <c r="L88" i="11"/>
  <c r="F89" i="11"/>
  <c r="H89" i="11"/>
  <c r="L89" i="11"/>
  <c r="F90" i="11"/>
  <c r="H90" i="11"/>
  <c r="L90" i="11"/>
  <c r="H99" i="11"/>
  <c r="H100" i="11"/>
  <c r="F101" i="11"/>
  <c r="H101" i="11"/>
  <c r="F102" i="11"/>
  <c r="H102" i="11"/>
  <c r="F103" i="11"/>
  <c r="H103" i="11"/>
  <c r="B111" i="11"/>
  <c r="B112" i="11"/>
  <c r="B113" i="11"/>
  <c r="B114" i="11"/>
  <c r="B115" i="11"/>
  <c r="B116" i="11"/>
  <c r="K117" i="11"/>
  <c r="B118" i="11"/>
  <c r="B119" i="11"/>
  <c r="B120" i="11"/>
  <c r="B121" i="11"/>
  <c r="B122" i="11"/>
  <c r="B123" i="11"/>
  <c r="M277" i="11"/>
  <c r="G282" i="11"/>
  <c r="J282" i="11"/>
  <c r="G303" i="11"/>
  <c r="J31" i="4"/>
  <c r="D38" i="4" s="1"/>
  <c r="I22" i="3" s="1"/>
  <c r="I23" i="3" s="1"/>
  <c r="H7" i="10"/>
  <c r="N96" i="7"/>
  <c r="C42" i="9"/>
  <c r="C74" i="9"/>
  <c r="S77" i="8"/>
  <c r="S74" i="8"/>
  <c r="E11" i="8"/>
  <c r="E12" i="8"/>
  <c r="E13" i="8"/>
  <c r="E18" i="8"/>
  <c r="E19" i="8"/>
  <c r="E20" i="8"/>
  <c r="B24" i="8"/>
  <c r="I25" i="8"/>
  <c r="J26" i="8"/>
  <c r="D30" i="8"/>
  <c r="I31" i="3" s="1"/>
  <c r="K26" i="8"/>
  <c r="P71" i="8"/>
  <c r="S71" i="8"/>
  <c r="T71" i="8"/>
  <c r="P73" i="8"/>
  <c r="S73" i="8"/>
  <c r="T73" i="8"/>
  <c r="I13" i="8"/>
  <c r="J13" i="8"/>
  <c r="P74" i="8"/>
  <c r="P75" i="8"/>
  <c r="S75" i="8"/>
  <c r="T75" i="8"/>
  <c r="P76" i="8"/>
  <c r="S76" i="8"/>
  <c r="T76" i="8"/>
  <c r="P77" i="8"/>
  <c r="I14" i="7"/>
  <c r="H18" i="7"/>
  <c r="I18" i="7"/>
  <c r="I22" i="7"/>
  <c r="K27" i="7"/>
  <c r="L28" i="7"/>
  <c r="D39" i="7" s="1"/>
  <c r="M28" i="7"/>
  <c r="M29" i="7" s="1"/>
  <c r="J28" i="3" s="1"/>
  <c r="J29" i="2" s="1"/>
  <c r="M30" i="7"/>
  <c r="J29" i="3" s="1"/>
  <c r="J30" i="2" s="1"/>
  <c r="D35" i="7"/>
  <c r="C28" i="2" s="1"/>
  <c r="D36" i="7"/>
  <c r="C29" i="2" s="1"/>
  <c r="D37" i="7"/>
  <c r="D38" i="7"/>
  <c r="N89" i="7"/>
  <c r="Q89" i="7"/>
  <c r="N91" i="7"/>
  <c r="Q91" i="7"/>
  <c r="R91" i="7"/>
  <c r="N92" i="7"/>
  <c r="Q92" i="7"/>
  <c r="R92" i="7"/>
  <c r="N93" i="7"/>
  <c r="Q93" i="7"/>
  <c r="R93" i="7"/>
  <c r="N94" i="7"/>
  <c r="Q94" i="7"/>
  <c r="R94" i="7"/>
  <c r="N95" i="7"/>
  <c r="Q95" i="7"/>
  <c r="R95" i="7"/>
  <c r="N97" i="7"/>
  <c r="Q97" i="7"/>
  <c r="R97" i="7"/>
  <c r="N98" i="7"/>
  <c r="Q98" i="7"/>
  <c r="R98" i="7"/>
  <c r="N99" i="7"/>
  <c r="Q99" i="7"/>
  <c r="R99" i="7"/>
  <c r="N100" i="7"/>
  <c r="Q100" i="7"/>
  <c r="R100" i="7"/>
  <c r="N101" i="7"/>
  <c r="Q101" i="7"/>
  <c r="R101" i="7"/>
  <c r="N102" i="7"/>
  <c r="Q102" i="7"/>
  <c r="R102" i="7"/>
  <c r="N103" i="7"/>
  <c r="Q103" i="7"/>
  <c r="R103" i="7"/>
  <c r="N104" i="7"/>
  <c r="Q104" i="7"/>
  <c r="R104" i="7"/>
  <c r="N105" i="7"/>
  <c r="Q105" i="7"/>
  <c r="R105" i="7"/>
  <c r="N106" i="7"/>
  <c r="Q106" i="7"/>
  <c r="R106" i="7"/>
  <c r="N107" i="7"/>
  <c r="Q107" i="7"/>
  <c r="R107" i="7"/>
  <c r="N108" i="7"/>
  <c r="Q108" i="7"/>
  <c r="R108" i="7"/>
  <c r="N109" i="7"/>
  <c r="Q109" i="7"/>
  <c r="R109" i="7"/>
  <c r="N110" i="7"/>
  <c r="Q110" i="7"/>
  <c r="R110" i="7"/>
  <c r="N111" i="7"/>
  <c r="Q111" i="7"/>
  <c r="R111" i="7"/>
  <c r="N112" i="7"/>
  <c r="Q112" i="7"/>
  <c r="R112" i="7"/>
  <c r="N113" i="7"/>
  <c r="Q113" i="7"/>
  <c r="R113" i="7"/>
  <c r="N114" i="7"/>
  <c r="Q114" i="7"/>
  <c r="R114" i="7"/>
  <c r="N115" i="7"/>
  <c r="C40" i="9"/>
  <c r="Q115" i="7"/>
  <c r="E11" i="7"/>
  <c r="H11" i="7" s="1"/>
  <c r="I11" i="7" s="1"/>
  <c r="R115" i="7"/>
  <c r="N116" i="7"/>
  <c r="Q116" i="7"/>
  <c r="R116" i="7"/>
  <c r="N117" i="7"/>
  <c r="Q117" i="7"/>
  <c r="R117" i="7"/>
  <c r="N118" i="7"/>
  <c r="Q118" i="7"/>
  <c r="R118" i="7"/>
  <c r="N119" i="7"/>
  <c r="Q119" i="7"/>
  <c r="R119" i="7"/>
  <c r="N120" i="7"/>
  <c r="Q120" i="7"/>
  <c r="R120" i="7"/>
  <c r="N121" i="7"/>
  <c r="Q121" i="7"/>
  <c r="R121" i="7"/>
  <c r="N122" i="7"/>
  <c r="Q122" i="7"/>
  <c r="R122" i="7"/>
  <c r="N123" i="7"/>
  <c r="Q123" i="7"/>
  <c r="R123" i="7"/>
  <c r="N124" i="7"/>
  <c r="Q124" i="7"/>
  <c r="R124" i="7"/>
  <c r="N125" i="7"/>
  <c r="Q125" i="7"/>
  <c r="R125" i="7"/>
  <c r="N126" i="7"/>
  <c r="Q126" i="7"/>
  <c r="R126" i="7"/>
  <c r="N127" i="7"/>
  <c r="Q127" i="7"/>
  <c r="R127" i="7"/>
  <c r="N128" i="7"/>
  <c r="Q128" i="7"/>
  <c r="R128" i="7"/>
  <c r="N129" i="7"/>
  <c r="Q129" i="7"/>
  <c r="R129" i="7"/>
  <c r="N130" i="7"/>
  <c r="Q130" i="7"/>
  <c r="R130" i="7"/>
  <c r="N131" i="7"/>
  <c r="Q131" i="7"/>
  <c r="R131" i="7"/>
  <c r="N132" i="7"/>
  <c r="Q132" i="7"/>
  <c r="R132" i="7"/>
  <c r="N133" i="7"/>
  <c r="Q133" i="7"/>
  <c r="R133" i="7"/>
  <c r="N134" i="7"/>
  <c r="Q134" i="7"/>
  <c r="R134" i="7"/>
  <c r="N135" i="7"/>
  <c r="Q135" i="7"/>
  <c r="R135" i="7"/>
  <c r="N136" i="7"/>
  <c r="Q136" i="7"/>
  <c r="R136" i="7"/>
  <c r="N137" i="7"/>
  <c r="Q137" i="7"/>
  <c r="R137" i="7"/>
  <c r="N138" i="7"/>
  <c r="Q138" i="7"/>
  <c r="R138" i="7"/>
  <c r="N139" i="7"/>
  <c r="Q139" i="7"/>
  <c r="R139" i="7"/>
  <c r="N140" i="7"/>
  <c r="Q140" i="7"/>
  <c r="R140" i="7"/>
  <c r="N141" i="7"/>
  <c r="Q141" i="7"/>
  <c r="R141" i="7"/>
  <c r="N142" i="7"/>
  <c r="Q142" i="7"/>
  <c r="R142" i="7"/>
  <c r="N143" i="7"/>
  <c r="Q143" i="7"/>
  <c r="R143" i="7"/>
  <c r="N144" i="7"/>
  <c r="Q144" i="7"/>
  <c r="R144" i="7"/>
  <c r="N145" i="7"/>
  <c r="Q145" i="7"/>
  <c r="R145" i="7"/>
  <c r="N146" i="7"/>
  <c r="Q146" i="7"/>
  <c r="R146" i="7"/>
  <c r="N147" i="7"/>
  <c r="Q147" i="7"/>
  <c r="R147" i="7"/>
  <c r="N148" i="7"/>
  <c r="Q148" i="7"/>
  <c r="R148" i="7"/>
  <c r="N149" i="7"/>
  <c r="Q149" i="7"/>
  <c r="R149" i="7"/>
  <c r="N150" i="7"/>
  <c r="Q150" i="7"/>
  <c r="R150" i="7"/>
  <c r="N151" i="7"/>
  <c r="Q151" i="7"/>
  <c r="R151" i="7"/>
  <c r="N152" i="7"/>
  <c r="Q152" i="7"/>
  <c r="R152" i="7"/>
  <c r="N153" i="7"/>
  <c r="Q153" i="7"/>
  <c r="R153" i="7"/>
  <c r="N154" i="7"/>
  <c r="Q154" i="7"/>
  <c r="R154" i="7"/>
  <c r="N155" i="7"/>
  <c r="Q155" i="7"/>
  <c r="R155" i="7"/>
  <c r="N156" i="7"/>
  <c r="Q156" i="7"/>
  <c r="R156" i="7"/>
  <c r="N157" i="7"/>
  <c r="Q157" i="7"/>
  <c r="R157" i="7"/>
  <c r="N158" i="7"/>
  <c r="Q158" i="7"/>
  <c r="R158" i="7"/>
  <c r="N159" i="7"/>
  <c r="Q159" i="7"/>
  <c r="R159" i="7"/>
  <c r="F14" i="6"/>
  <c r="J14" i="6" s="1"/>
  <c r="C18" i="6" s="1"/>
  <c r="F25" i="3" s="1"/>
  <c r="H25" i="3" s="1"/>
  <c r="K14" i="6"/>
  <c r="D18" i="6"/>
  <c r="L14" i="6"/>
  <c r="J25" i="3" s="1"/>
  <c r="J26" i="2" s="1"/>
  <c r="E68" i="6"/>
  <c r="K13" i="5"/>
  <c r="D17" i="5"/>
  <c r="I24" i="3"/>
  <c r="V12" i="4"/>
  <c r="O13" i="4"/>
  <c r="P13" i="4"/>
  <c r="V13" i="4"/>
  <c r="O14" i="4"/>
  <c r="P14" i="4" s="1"/>
  <c r="V14" i="4"/>
  <c r="O15" i="4"/>
  <c r="P15" i="4" s="1"/>
  <c r="O16" i="4"/>
  <c r="P16" i="4" s="1"/>
  <c r="O17" i="4"/>
  <c r="P17" i="4"/>
  <c r="O18" i="4"/>
  <c r="P18" i="4" s="1"/>
  <c r="O19" i="4"/>
  <c r="P19" i="4"/>
  <c r="O20" i="4"/>
  <c r="P20" i="4" s="1"/>
  <c r="O21" i="4"/>
  <c r="P21" i="4" s="1"/>
  <c r="O22" i="4"/>
  <c r="P22" i="4" s="1"/>
  <c r="O23" i="4"/>
  <c r="P23" i="4" s="1"/>
  <c r="O24" i="4"/>
  <c r="P24" i="4" s="1"/>
  <c r="J25" i="4"/>
  <c r="O25" i="4"/>
  <c r="P25" i="4" s="1"/>
  <c r="O26" i="4"/>
  <c r="P26" i="4" s="1"/>
  <c r="O27" i="4"/>
  <c r="P27" i="4"/>
  <c r="O28" i="4"/>
  <c r="P28" i="4" s="1"/>
  <c r="O29" i="4"/>
  <c r="P29" i="4" s="1"/>
  <c r="O30" i="4"/>
  <c r="P30" i="4"/>
  <c r="O31" i="4"/>
  <c r="P31" i="4"/>
  <c r="F32" i="4"/>
  <c r="O32" i="4"/>
  <c r="P32" i="4" s="1"/>
  <c r="O33" i="4"/>
  <c r="P33" i="4"/>
  <c r="O34" i="4"/>
  <c r="P34" i="4" s="1"/>
  <c r="O35" i="4"/>
  <c r="P35" i="4"/>
  <c r="AA81" i="4"/>
  <c r="AG81" i="4" s="1"/>
  <c r="AD81" i="4"/>
  <c r="AE81" i="4"/>
  <c r="AJ81" i="4"/>
  <c r="AK81" i="4"/>
  <c r="AA83" i="4"/>
  <c r="AG83" i="4" s="1"/>
  <c r="AD83" i="4"/>
  <c r="AJ83" i="4" s="1"/>
  <c r="AE83" i="4"/>
  <c r="AK83" i="4" s="1"/>
  <c r="AA84" i="4"/>
  <c r="AG84" i="4" s="1"/>
  <c r="AA85" i="4"/>
  <c r="AG85" i="4"/>
  <c r="AJ85" i="4"/>
  <c r="AK85" i="4"/>
  <c r="AA86" i="4"/>
  <c r="AG86" i="4"/>
  <c r="AA87" i="4"/>
  <c r="AG87" i="4"/>
  <c r="AA88" i="4"/>
  <c r="AG88" i="4" s="1"/>
  <c r="AD88" i="4"/>
  <c r="AJ88" i="4" s="1"/>
  <c r="AE88" i="4"/>
  <c r="AK88" i="4" s="1"/>
  <c r="AA89" i="4"/>
  <c r="AD89" i="4"/>
  <c r="AE89" i="4"/>
  <c r="AK89" i="4" s="1"/>
  <c r="AG89" i="4"/>
  <c r="AJ89" i="4"/>
  <c r="AA90" i="4"/>
  <c r="AG90" i="4" s="1"/>
  <c r="AD90" i="4"/>
  <c r="AJ90" i="4" s="1"/>
  <c r="AE90" i="4"/>
  <c r="AK90" i="4" s="1"/>
  <c r="AA91" i="4"/>
  <c r="AG91" i="4"/>
  <c r="AA92" i="4"/>
  <c r="AD92" i="4"/>
  <c r="AE92" i="4"/>
  <c r="AG92" i="4"/>
  <c r="AJ92" i="4"/>
  <c r="AK92" i="4"/>
  <c r="AA93" i="4"/>
  <c r="AG93" i="4" s="1"/>
  <c r="AD93" i="4"/>
  <c r="AE93" i="4"/>
  <c r="AJ93" i="4"/>
  <c r="AK93" i="4"/>
  <c r="AA94" i="4"/>
  <c r="AG94" i="4" s="1"/>
  <c r="AD94" i="4"/>
  <c r="AJ94" i="4" s="1"/>
  <c r="AE94" i="4"/>
  <c r="AK94" i="4" s="1"/>
  <c r="AA95" i="4"/>
  <c r="AG95" i="4" s="1"/>
  <c r="AD95" i="4"/>
  <c r="AE95" i="4"/>
  <c r="AJ95" i="4"/>
  <c r="AK95" i="4"/>
  <c r="AA96" i="4"/>
  <c r="AD96" i="4"/>
  <c r="AE96" i="4"/>
  <c r="AG96" i="4"/>
  <c r="AJ96" i="4"/>
  <c r="AK96" i="4"/>
  <c r="AA97" i="4"/>
  <c r="AG97" i="4" s="1"/>
  <c r="AD97" i="4"/>
  <c r="AE97" i="4"/>
  <c r="AJ97" i="4"/>
  <c r="AK97" i="4"/>
  <c r="AA98" i="4"/>
  <c r="AG98" i="4" s="1"/>
  <c r="AD98" i="4"/>
  <c r="AJ98" i="4" s="1"/>
  <c r="AE98" i="4"/>
  <c r="AK98" i="4" s="1"/>
  <c r="AA99" i="4"/>
  <c r="AG99" i="4" s="1"/>
  <c r="AD99" i="4"/>
  <c r="AE99" i="4"/>
  <c r="AJ99" i="4"/>
  <c r="AK99" i="4"/>
  <c r="AA100" i="4"/>
  <c r="AD100" i="4"/>
  <c r="AE100" i="4"/>
  <c r="AG100" i="4"/>
  <c r="AJ100" i="4"/>
  <c r="AK100" i="4"/>
  <c r="AA101" i="4"/>
  <c r="AG101" i="4" s="1"/>
  <c r="AD101" i="4"/>
  <c r="AE101" i="4"/>
  <c r="AJ101" i="4"/>
  <c r="AK101" i="4"/>
  <c r="AA102" i="4"/>
  <c r="AG102" i="4" s="1"/>
  <c r="AD102" i="4"/>
  <c r="AJ102" i="4" s="1"/>
  <c r="AE102" i="4"/>
  <c r="AK102" i="4" s="1"/>
  <c r="AA103" i="4"/>
  <c r="AG103" i="4" s="1"/>
  <c r="AD103" i="4"/>
  <c r="AE103" i="4"/>
  <c r="AJ103" i="4"/>
  <c r="AK103" i="4"/>
  <c r="AA104" i="4"/>
  <c r="AD104" i="4"/>
  <c r="AE104" i="4"/>
  <c r="AG104" i="4"/>
  <c r="AJ104" i="4"/>
  <c r="AK104" i="4"/>
  <c r="AA105" i="4"/>
  <c r="AG105" i="4" s="1"/>
  <c r="AD105" i="4"/>
  <c r="AE105" i="4"/>
  <c r="AJ105" i="4"/>
  <c r="AK105" i="4"/>
  <c r="AA106" i="4"/>
  <c r="AG106" i="4" s="1"/>
  <c r="AD106" i="4"/>
  <c r="AJ106" i="4" s="1"/>
  <c r="AE106" i="4"/>
  <c r="AK106" i="4" s="1"/>
  <c r="AA107" i="4"/>
  <c r="AG107" i="4" s="1"/>
  <c r="AD107" i="4"/>
  <c r="AE107" i="4"/>
  <c r="AJ107" i="4"/>
  <c r="AK107" i="4"/>
  <c r="AA108" i="4"/>
  <c r="AD108" i="4"/>
  <c r="AE108" i="4"/>
  <c r="AG108" i="4"/>
  <c r="AJ108" i="4"/>
  <c r="AK108" i="4"/>
  <c r="AA109" i="4"/>
  <c r="AG109" i="4" s="1"/>
  <c r="AD109" i="4"/>
  <c r="AE109" i="4"/>
  <c r="AJ109" i="4"/>
  <c r="AK109" i="4"/>
  <c r="AA110" i="4"/>
  <c r="AG110" i="4" s="1"/>
  <c r="AD110" i="4"/>
  <c r="AJ110" i="4" s="1"/>
  <c r="AE110" i="4"/>
  <c r="AK110" i="4" s="1"/>
  <c r="AA111" i="4"/>
  <c r="AG111" i="4" s="1"/>
  <c r="AD111" i="4"/>
  <c r="AE111" i="4"/>
  <c r="AJ111" i="4"/>
  <c r="AK111" i="4"/>
  <c r="AA112" i="4"/>
  <c r="AD112" i="4"/>
  <c r="AE112" i="4"/>
  <c r="AG112" i="4"/>
  <c r="AJ112" i="4"/>
  <c r="AK112" i="4"/>
  <c r="AA113" i="4"/>
  <c r="AG113" i="4" s="1"/>
  <c r="AD113" i="4"/>
  <c r="AE113" i="4"/>
  <c r="AJ113" i="4"/>
  <c r="AK113" i="4"/>
  <c r="AA114" i="4"/>
  <c r="AG114" i="4" s="1"/>
  <c r="AD114" i="4"/>
  <c r="AJ114" i="4" s="1"/>
  <c r="AE114" i="4"/>
  <c r="AK114" i="4" s="1"/>
  <c r="AA115" i="4"/>
  <c r="AG115" i="4" s="1"/>
  <c r="AD115" i="4"/>
  <c r="AE115" i="4"/>
  <c r="AJ115" i="4"/>
  <c r="AK115" i="4"/>
  <c r="AA116" i="4"/>
  <c r="AD116" i="4"/>
  <c r="AE116" i="4"/>
  <c r="AG116" i="4"/>
  <c r="AJ116" i="4"/>
  <c r="AK116" i="4"/>
  <c r="AA117" i="4"/>
  <c r="AG117" i="4" s="1"/>
  <c r="AD117" i="4"/>
  <c r="AE117" i="4"/>
  <c r="AJ117" i="4"/>
  <c r="AK117" i="4"/>
  <c r="AA118" i="4"/>
  <c r="AG118" i="4" s="1"/>
  <c r="AD118" i="4"/>
  <c r="AJ118" i="4" s="1"/>
  <c r="AE118" i="4"/>
  <c r="AK118" i="4" s="1"/>
  <c r="AA119" i="4"/>
  <c r="AG119" i="4" s="1"/>
  <c r="AD119" i="4"/>
  <c r="AE119" i="4"/>
  <c r="AJ119" i="4"/>
  <c r="AK119" i="4"/>
  <c r="AA120" i="4"/>
  <c r="AD120" i="4"/>
  <c r="AE120" i="4"/>
  <c r="AG120" i="4"/>
  <c r="AJ120" i="4"/>
  <c r="AK120" i="4"/>
  <c r="AA121" i="4"/>
  <c r="AG121" i="4" s="1"/>
  <c r="AD121" i="4"/>
  <c r="AE121" i="4"/>
  <c r="AJ121" i="4"/>
  <c r="AK121" i="4"/>
  <c r="AA122" i="4"/>
  <c r="AD122" i="4"/>
  <c r="AJ122" i="4" s="1"/>
  <c r="AE122" i="4"/>
  <c r="AK122" i="4" s="1"/>
  <c r="AG122" i="4"/>
  <c r="AA123" i="4"/>
  <c r="AG123" i="4" s="1"/>
  <c r="AD123" i="4"/>
  <c r="AE123" i="4"/>
  <c r="AJ123" i="4"/>
  <c r="AK123" i="4"/>
  <c r="B21" i="3"/>
  <c r="C22" i="3"/>
  <c r="C23" i="3"/>
  <c r="B24" i="3"/>
  <c r="B25" i="3"/>
  <c r="I25" i="3"/>
  <c r="B26" i="3"/>
  <c r="C29" i="3"/>
  <c r="C30" i="3"/>
  <c r="B31" i="3"/>
  <c r="J31" i="3"/>
  <c r="J32" i="2"/>
  <c r="B22" i="2"/>
  <c r="C23" i="2"/>
  <c r="I23" i="2"/>
  <c r="J23" i="2"/>
  <c r="C24" i="2"/>
  <c r="I24" i="2"/>
  <c r="J24" i="2"/>
  <c r="B25" i="2"/>
  <c r="I25" i="2"/>
  <c r="J25" i="2"/>
  <c r="B26" i="2"/>
  <c r="G26" i="2"/>
  <c r="I26" i="2"/>
  <c r="B27" i="2"/>
  <c r="I28" i="2"/>
  <c r="I29" i="2"/>
  <c r="C30" i="2"/>
  <c r="I30" i="2"/>
  <c r="C31" i="2"/>
  <c r="I31" i="2"/>
  <c r="B32" i="2"/>
  <c r="I32" i="2"/>
  <c r="B84" i="11"/>
  <c r="B97" i="11" s="1"/>
  <c r="I32" i="4"/>
  <c r="Q31" i="2"/>
  <c r="G123" i="11"/>
  <c r="J123" i="11"/>
  <c r="C28" i="3"/>
  <c r="F123" i="11"/>
  <c r="I123" i="11"/>
  <c r="C41" i="9"/>
  <c r="E12" i="7"/>
  <c r="D14" i="7" s="1"/>
  <c r="AJ87" i="4" l="1"/>
  <c r="F22" i="4" s="1"/>
  <c r="E25" i="4" s="1"/>
  <c r="E11" i="10"/>
  <c r="F11" i="10" s="1"/>
  <c r="E15" i="4"/>
  <c r="J14" i="8"/>
  <c r="C30" i="8" s="1"/>
  <c r="F31" i="3" s="1"/>
  <c r="H31" i="3" s="1"/>
  <c r="J27" i="3"/>
  <c r="J28" i="2" s="1"/>
  <c r="H19" i="7"/>
  <c r="I19" i="7" s="1"/>
  <c r="H12" i="7"/>
  <c r="I12" i="7" s="1"/>
  <c r="G41" i="9" s="1"/>
  <c r="M41" i="9" s="1"/>
  <c r="M31" i="7"/>
  <c r="J30" i="3" s="1"/>
  <c r="J31" i="2" s="1"/>
  <c r="I26" i="8"/>
  <c r="G286" i="11"/>
  <c r="J294" i="11"/>
  <c r="G292" i="11"/>
  <c r="I122" i="11"/>
  <c r="J122" i="11"/>
  <c r="G284" i="11"/>
  <c r="G72" i="11"/>
  <c r="F72" i="11"/>
  <c r="H72" i="11"/>
  <c r="I72" i="11"/>
  <c r="G289" i="11"/>
  <c r="H69" i="11"/>
  <c r="G288" i="11"/>
  <c r="J286" i="11"/>
  <c r="J293" i="11"/>
  <c r="H122" i="11"/>
  <c r="C308" i="11"/>
  <c r="G305" i="11" s="1"/>
  <c r="G283" i="11"/>
  <c r="J290" i="11"/>
  <c r="J287" i="11"/>
  <c r="J289" i="11"/>
  <c r="G293" i="11"/>
  <c r="J284" i="11"/>
  <c r="E10" i="10"/>
  <c r="F10" i="10" s="1"/>
  <c r="I10" i="4"/>
  <c r="J10" i="4" s="1"/>
  <c r="J16" i="4" s="1"/>
  <c r="E12" i="10"/>
  <c r="F12" i="10" s="1"/>
  <c r="E9" i="10"/>
  <c r="I23" i="7"/>
  <c r="E30" i="8"/>
  <c r="P36" i="4"/>
  <c r="H75" i="11"/>
  <c r="F75" i="11"/>
  <c r="I75" i="11"/>
  <c r="G75" i="11"/>
  <c r="J75" i="11"/>
  <c r="F66" i="11"/>
  <c r="G66" i="11"/>
  <c r="I66" i="11"/>
  <c r="H66" i="11"/>
  <c r="Q30" i="2"/>
  <c r="C27" i="3"/>
  <c r="G113" i="11"/>
  <c r="J121" i="11"/>
  <c r="E133" i="11"/>
  <c r="Q23" i="2" s="1"/>
  <c r="J72" i="11"/>
  <c r="E132" i="11"/>
  <c r="Q24" i="2" s="1"/>
  <c r="G112" i="11"/>
  <c r="K123" i="11"/>
  <c r="E135" i="11"/>
  <c r="Q25" i="2" s="1"/>
  <c r="G25" i="2" s="1"/>
  <c r="L29" i="7"/>
  <c r="E134" i="11"/>
  <c r="G40" i="9"/>
  <c r="M40" i="9" s="1"/>
  <c r="J32" i="4"/>
  <c r="I112" i="11"/>
  <c r="I27" i="3"/>
  <c r="H113" i="11"/>
  <c r="F113" i="11"/>
  <c r="F76" i="11"/>
  <c r="H76" i="11"/>
  <c r="G76" i="11"/>
  <c r="J76" i="11"/>
  <c r="I76" i="11"/>
  <c r="J119" i="11"/>
  <c r="F119" i="11"/>
  <c r="G119" i="11"/>
  <c r="I119" i="11"/>
  <c r="H119" i="11"/>
  <c r="G73" i="11"/>
  <c r="F73" i="11"/>
  <c r="H73" i="11"/>
  <c r="I73" i="11"/>
  <c r="J73" i="11"/>
  <c r="H67" i="11"/>
  <c r="I67" i="11"/>
  <c r="F67" i="11"/>
  <c r="G67" i="11"/>
  <c r="H118" i="11"/>
  <c r="F118" i="11"/>
  <c r="I118" i="11"/>
  <c r="J118" i="11"/>
  <c r="G118" i="11"/>
  <c r="I111" i="11"/>
  <c r="F111" i="11"/>
  <c r="G111" i="11"/>
  <c r="H111" i="11"/>
  <c r="I115" i="11"/>
  <c r="F115" i="11"/>
  <c r="H115" i="11"/>
  <c r="G115" i="11"/>
  <c r="F114" i="11"/>
  <c r="G114" i="11"/>
  <c r="I114" i="11"/>
  <c r="H114" i="11"/>
  <c r="F120" i="11"/>
  <c r="H120" i="11"/>
  <c r="G120" i="11"/>
  <c r="I120" i="11"/>
  <c r="J120" i="11"/>
  <c r="H68" i="11"/>
  <c r="I68" i="11"/>
  <c r="F68" i="11"/>
  <c r="G68" i="11"/>
  <c r="H121" i="11"/>
  <c r="G74" i="11"/>
  <c r="F65" i="11"/>
  <c r="G121" i="11"/>
  <c r="I69" i="11"/>
  <c r="H112" i="11"/>
  <c r="F122" i="11"/>
  <c r="H74" i="11"/>
  <c r="H65" i="11"/>
  <c r="G290" i="11"/>
  <c r="J291" i="11"/>
  <c r="J292" i="11"/>
  <c r="G291" i="11"/>
  <c r="F121" i="11"/>
  <c r="F74" i="11"/>
  <c r="G122" i="11"/>
  <c r="F69" i="11"/>
  <c r="G287" i="11"/>
  <c r="J285" i="11"/>
  <c r="J74" i="11"/>
  <c r="J283" i="11"/>
  <c r="I65" i="11"/>
  <c r="J288" i="11"/>
  <c r="G294" i="11"/>
  <c r="F25" i="2"/>
  <c r="P25" i="2" s="1"/>
  <c r="F26" i="2"/>
  <c r="P26" i="2" s="1"/>
  <c r="H26" i="2" s="1"/>
  <c r="F32" i="2"/>
  <c r="P32" i="2" s="1"/>
  <c r="G14" i="2"/>
  <c r="I22" i="4" l="1"/>
  <c r="J22" i="4" s="1"/>
  <c r="J26" i="4" s="1"/>
  <c r="E13" i="10"/>
  <c r="M43" i="9"/>
  <c r="I15" i="7"/>
  <c r="K72" i="11"/>
  <c r="G306" i="11"/>
  <c r="G307" i="11"/>
  <c r="G304" i="11"/>
  <c r="K122" i="11"/>
  <c r="J124" i="11"/>
  <c r="F9" i="10"/>
  <c r="F13" i="10" s="1"/>
  <c r="K75" i="11"/>
  <c r="K113" i="11"/>
  <c r="K66" i="11"/>
  <c r="C35" i="7"/>
  <c r="C37" i="7"/>
  <c r="F29" i="3" s="1"/>
  <c r="C36" i="7"/>
  <c r="F28" i="3" s="1"/>
  <c r="C38" i="7"/>
  <c r="F30" i="3" s="1"/>
  <c r="K112" i="11"/>
  <c r="Q29" i="2"/>
  <c r="Q28" i="2"/>
  <c r="E137" i="11"/>
  <c r="L30" i="7"/>
  <c r="I28" i="3"/>
  <c r="E35" i="7"/>
  <c r="K118" i="11"/>
  <c r="K65" i="11"/>
  <c r="K74" i="11"/>
  <c r="K119" i="11"/>
  <c r="K121" i="11"/>
  <c r="K68" i="11"/>
  <c r="K120" i="11"/>
  <c r="K115" i="11"/>
  <c r="K73" i="11"/>
  <c r="K111" i="11"/>
  <c r="K67" i="11"/>
  <c r="K69" i="11"/>
  <c r="K114" i="11"/>
  <c r="K76" i="11"/>
  <c r="D136" i="11"/>
  <c r="H32" i="2"/>
  <c r="H25" i="2"/>
  <c r="D135" i="11"/>
  <c r="G11" i="10" l="1"/>
  <c r="I11" i="10" s="1"/>
  <c r="K11" i="10" s="1"/>
  <c r="G9" i="10"/>
  <c r="G12" i="10"/>
  <c r="I12" i="10" s="1"/>
  <c r="K12" i="10" s="1"/>
  <c r="G10" i="10"/>
  <c r="H10" i="10" s="1"/>
  <c r="J10" i="10" s="1"/>
  <c r="C37" i="4"/>
  <c r="F23" i="3" s="1"/>
  <c r="C36" i="4"/>
  <c r="E58" i="4" s="1"/>
  <c r="G36" i="4"/>
  <c r="G37" i="4" s="1"/>
  <c r="Q33" i="2"/>
  <c r="F30" i="2"/>
  <c r="F27" i="3"/>
  <c r="C39" i="7"/>
  <c r="F31" i="2"/>
  <c r="F29" i="2"/>
  <c r="I29" i="3"/>
  <c r="L31" i="7"/>
  <c r="I30" i="3" s="1"/>
  <c r="H11" i="10" l="1"/>
  <c r="J11" i="10" s="1"/>
  <c r="G13" i="10"/>
  <c r="I9" i="10"/>
  <c r="K9" i="10" s="1"/>
  <c r="I10" i="10"/>
  <c r="K10" i="10" s="1"/>
  <c r="H9" i="10"/>
  <c r="J9" i="10" s="1"/>
  <c r="H12" i="10"/>
  <c r="J12" i="10" s="1"/>
  <c r="F22" i="3"/>
  <c r="H22" i="3" s="1"/>
  <c r="C38" i="4"/>
  <c r="H23" i="3"/>
  <c r="F24" i="2"/>
  <c r="C70" i="9"/>
  <c r="G29" i="3" s="1"/>
  <c r="C71" i="9"/>
  <c r="G30" i="3" s="1"/>
  <c r="C68" i="9"/>
  <c r="G27" i="3" s="1"/>
  <c r="C69" i="9"/>
  <c r="G28" i="3" s="1"/>
  <c r="D63" i="9"/>
  <c r="D24" i="9"/>
  <c r="C72" i="9" s="1"/>
  <c r="H27" i="3"/>
  <c r="F28" i="2"/>
  <c r="J13" i="10" l="1"/>
  <c r="O23" i="2" s="1"/>
  <c r="G23" i="2" s="1"/>
  <c r="K13" i="10"/>
  <c r="O24" i="2" s="1"/>
  <c r="G24" i="2" s="1"/>
  <c r="H13" i="10"/>
  <c r="I13" i="10"/>
  <c r="F23" i="2"/>
  <c r="F32" i="3"/>
  <c r="G32" i="3"/>
  <c r="O28" i="2"/>
  <c r="G28" i="2" s="1"/>
  <c r="O31" i="2"/>
  <c r="H30" i="3"/>
  <c r="O29" i="2"/>
  <c r="H28" i="3"/>
  <c r="H32" i="3" s="1"/>
  <c r="O30" i="2"/>
  <c r="H29" i="3"/>
  <c r="P24" i="2" l="1"/>
  <c r="H24" i="2" s="1"/>
  <c r="O33" i="2"/>
  <c r="G33" i="2" s="1"/>
  <c r="P23" i="2"/>
  <c r="D133" i="11" s="1"/>
  <c r="F33" i="2"/>
  <c r="G30" i="2"/>
  <c r="P30" i="2"/>
  <c r="H30" i="2" s="1"/>
  <c r="G31" i="2"/>
  <c r="P31" i="2"/>
  <c r="H31" i="2" s="1"/>
  <c r="G29" i="2"/>
  <c r="P29" i="2"/>
  <c r="H29" i="2" s="1"/>
  <c r="P28" i="2"/>
  <c r="D132" i="11" l="1"/>
  <c r="H23" i="2"/>
  <c r="C30" i="11"/>
  <c r="J77" i="11" s="1"/>
  <c r="J78" i="11" s="1"/>
  <c r="C136" i="11" s="1"/>
  <c r="C29" i="11"/>
  <c r="G77" i="11" s="1"/>
  <c r="C28" i="11"/>
  <c r="I77" i="11" s="1"/>
  <c r="C21" i="11"/>
  <c r="H116" i="11" s="1"/>
  <c r="H124" i="11" s="1"/>
  <c r="C19" i="11"/>
  <c r="I116" i="11" s="1"/>
  <c r="I124" i="11" s="1"/>
  <c r="C31" i="11"/>
  <c r="H77" i="11" s="1"/>
  <c r="H28" i="2"/>
  <c r="D134" i="11"/>
  <c r="C32" i="11"/>
  <c r="F77" i="11" s="1"/>
  <c r="C20" i="11"/>
  <c r="C22" i="11"/>
  <c r="P33" i="2"/>
  <c r="D137" i="11" l="1"/>
  <c r="H33" i="2"/>
  <c r="K77" i="11"/>
  <c r="H70" i="11"/>
  <c r="H78" i="11" s="1"/>
  <c r="C134" i="11" s="1"/>
  <c r="I70" i="11"/>
  <c r="I78" i="11" s="1"/>
  <c r="C135" i="11" s="1"/>
  <c r="F70" i="11"/>
  <c r="F116" i="11"/>
  <c r="G70" i="11"/>
  <c r="G78" i="11" s="1"/>
  <c r="G116" i="11"/>
  <c r="G124" i="11" s="1"/>
  <c r="C133" i="11" l="1"/>
  <c r="F124" i="11"/>
  <c r="K116" i="11"/>
  <c r="K124" i="11" s="1"/>
  <c r="F78" i="11"/>
  <c r="K70" i="11"/>
  <c r="C132" i="11" l="1"/>
  <c r="K78" i="11"/>
</calcChain>
</file>

<file path=xl/sharedStrings.xml><?xml version="1.0" encoding="utf-8"?>
<sst xmlns="http://schemas.openxmlformats.org/spreadsheetml/2006/main" count="1799" uniqueCount="728">
  <si>
    <t>These are 'as of right' (ROL) or proposed uses (MCU), and may require reference to the Queensland Planning Provisions for sub-definition identifcation</t>
  </si>
  <si>
    <t>Aquaculture (Aquaculture)</t>
  </si>
  <si>
    <t>Car Park (Car park)</t>
  </si>
  <si>
    <t>Child Care Centre (Child care centre)</t>
  </si>
  <si>
    <t>Education Establishment (Education establishment)</t>
  </si>
  <si>
    <t>Extractive Industry (Extractive industry)</t>
  </si>
  <si>
    <t>Garden Centre (Garden centre)</t>
  </si>
  <si>
    <t>Home Based Business (Home based business)</t>
  </si>
  <si>
    <t>Hospital (Hospital)</t>
  </si>
  <si>
    <t>Market (Market)</t>
  </si>
  <si>
    <t>Office (Office)</t>
  </si>
  <si>
    <t>Place of Worship (Place of worship)</t>
  </si>
  <si>
    <t>Restaurant (Food and drink outlet)</t>
  </si>
  <si>
    <t>Roadside Stall (Roadside stall)</t>
  </si>
  <si>
    <t>Rural Service Industry (Rural industry)</t>
  </si>
  <si>
    <t>Sales or Hire Yard (Oudoor sales)</t>
  </si>
  <si>
    <t>Service Industry (Service industry)</t>
  </si>
  <si>
    <t>Service Industry (Veterinary services)</t>
  </si>
  <si>
    <t>Service Station (Service station)</t>
  </si>
  <si>
    <t>Shop (Adult store)</t>
  </si>
  <si>
    <t>Shop (Agricultural supplies store)</t>
  </si>
  <si>
    <t>Shop (Hardware &amp; trade supplies)</t>
  </si>
  <si>
    <t>Shop (Shop)</t>
  </si>
  <si>
    <t>Shopping Complex (Shopping centre)</t>
  </si>
  <si>
    <t>Showroom (Hardware &amp; trade supplies)</t>
  </si>
  <si>
    <t>Showroom (Showroom)</t>
  </si>
  <si>
    <t>Stable (Animal keeping)</t>
  </si>
  <si>
    <t>Transport Depot (Service industry)</t>
  </si>
  <si>
    <t>Variety Retail Warehouse (Shop)</t>
  </si>
  <si>
    <t>Vehicle Repair Workshop (Medium impact industry)</t>
  </si>
  <si>
    <t>Warehouse (Warehouse)</t>
  </si>
  <si>
    <t>Caravan Park (Relocatable home park)</t>
  </si>
  <si>
    <t>Caravan Park (Tourist park)</t>
  </si>
  <si>
    <t>Caretaker’s Residence (Caretaker's Accommodation)</t>
  </si>
  <si>
    <t>Community Residence (Community Residence)</t>
  </si>
  <si>
    <t>Detached House (Dwelling house)</t>
  </si>
  <si>
    <t>Dual Occupancy (Dual Occupancy)</t>
  </si>
  <si>
    <t>Hotel (Hotel (res. component))</t>
  </si>
  <si>
    <t>Motel (Short term accomodation)</t>
  </si>
  <si>
    <t>Multiple Dwelling (Multiple dwelling)</t>
  </si>
  <si>
    <t>Outdoor Recreation (Tourist park)</t>
  </si>
  <si>
    <t>Retirement Village (Retirement Facility)</t>
  </si>
  <si>
    <t>City Plan definition (QPP definition)</t>
  </si>
  <si>
    <t>Fraction impervious (ROL)</t>
  </si>
  <si>
    <t>DEMAND</t>
  </si>
  <si>
    <t>MAXIMUM STANDARD CHARGE SPLIT</t>
  </si>
  <si>
    <t>2.1</t>
  </si>
  <si>
    <t>2.2</t>
  </si>
  <si>
    <t>CRITERIA</t>
  </si>
  <si>
    <t>3.1</t>
  </si>
  <si>
    <t xml:space="preserve">3.2 </t>
  </si>
  <si>
    <t>3.3</t>
  </si>
  <si>
    <t>EXISTING USE RIGHTS</t>
  </si>
  <si>
    <t>4.1.</t>
  </si>
  <si>
    <t>Non-residential use rights &amp; gross maximum standard charge credit</t>
  </si>
  <si>
    <t>4.2</t>
  </si>
  <si>
    <t>Residential and accomodation use rights &amp; gross maximum standard charge credit</t>
  </si>
  <si>
    <t>4.3.</t>
  </si>
  <si>
    <t>Residential &amp; accommodation</t>
  </si>
  <si>
    <t>Land uses</t>
  </si>
  <si>
    <t>Base rate ($/unit) Jun '10</t>
  </si>
  <si>
    <t xml:space="preserve">Base RBCI = </t>
  </si>
  <si>
    <t>Base rate ($/m2 impervious)</t>
  </si>
  <si>
    <t>Eligibility =</t>
  </si>
  <si>
    <t>B = Maximum standard charge credit ($)</t>
  </si>
  <si>
    <t>A = Gross maximum standard charge ($)</t>
  </si>
  <si>
    <t>(i). Common criteria</t>
  </si>
  <si>
    <t>1. Waiver 1</t>
  </si>
  <si>
    <t>1.1 Specific criteria:</t>
  </si>
  <si>
    <t>1.2 Result:</t>
  </si>
  <si>
    <t>2. Waiver 2</t>
  </si>
  <si>
    <t>2.1 Specific criteria:</t>
  </si>
  <si>
    <t>Matching Land Use</t>
  </si>
  <si>
    <t>$ (Jun '09)</t>
  </si>
  <si>
    <t>Gross Contribution $ (Jun '09)</t>
  </si>
  <si>
    <t>Waiver         $ (Jun '09)</t>
  </si>
  <si>
    <t>Traditional Residential</t>
  </si>
  <si>
    <t>City View Slopes Residential</t>
  </si>
  <si>
    <t>Mixed Residential</t>
  </si>
  <si>
    <t>Neighbourhood Residential</t>
  </si>
  <si>
    <t>Rural Residential</t>
  </si>
  <si>
    <t>Centre Frame</t>
  </si>
  <si>
    <t>Local Centre</t>
  </si>
  <si>
    <t>Neighbourhood Centre</t>
  </si>
  <si>
    <t>District Centre</t>
  </si>
  <si>
    <t>Sub-Regional Centre</t>
  </si>
  <si>
    <t>Breakwater</t>
  </si>
  <si>
    <t>CBD Business Core</t>
  </si>
  <si>
    <t>CBD Entertainment Core</t>
  </si>
  <si>
    <t>CBD Retail Core</t>
  </si>
  <si>
    <t>CBD Tourist Core</t>
  </si>
  <si>
    <t>Cultural Centre</t>
  </si>
  <si>
    <t>Education, Heritage and Business Park</t>
  </si>
  <si>
    <t>Business and Industry</t>
  </si>
  <si>
    <t>Community and Government</t>
  </si>
  <si>
    <t>Core Industry</t>
  </si>
  <si>
    <t>Green Space</t>
  </si>
  <si>
    <t>Defence</t>
  </si>
  <si>
    <t>Port</t>
  </si>
  <si>
    <t>Rural</t>
  </si>
  <si>
    <t>Precinct</t>
  </si>
  <si>
    <t>Unit</t>
  </si>
  <si>
    <t>Lot</t>
  </si>
  <si>
    <t>Ha</t>
  </si>
  <si>
    <t>N/A</t>
  </si>
  <si>
    <t>FPA</t>
  </si>
  <si>
    <t>Other</t>
  </si>
  <si>
    <t>Defined City Plan Use</t>
  </si>
  <si>
    <t>Accomodation Building</t>
  </si>
  <si>
    <t>Retirement Village</t>
  </si>
  <si>
    <t>Caretakers Residence</t>
  </si>
  <si>
    <t>Dual Occupancy</t>
  </si>
  <si>
    <t>Multiple Dwelling</t>
  </si>
  <si>
    <t>Detached House</t>
  </si>
  <si>
    <t>Catering Shop</t>
  </si>
  <si>
    <t>Child Care Centre</t>
  </si>
  <si>
    <t>Fast Food Outlet</t>
  </si>
  <si>
    <t>Funeral Directors Premises</t>
  </si>
  <si>
    <t>Indoor Recreation</t>
  </si>
  <si>
    <t>Landscaping Supplies</t>
  </si>
  <si>
    <t>Office</t>
  </si>
  <si>
    <t>Restaurant</t>
  </si>
  <si>
    <t>Service Station</t>
  </si>
  <si>
    <t>Shop</t>
  </si>
  <si>
    <t>Shopping Complex</t>
  </si>
  <si>
    <t xml:space="preserve">Showroom </t>
  </si>
  <si>
    <t>Medical Centre</t>
  </si>
  <si>
    <t>Bed and Breakfast</t>
  </si>
  <si>
    <t>Caravan Park</t>
  </si>
  <si>
    <t>Motel</t>
  </si>
  <si>
    <t>dwelling unit</t>
  </si>
  <si>
    <t>Hotel (accomodation component)</t>
  </si>
  <si>
    <t>Hotel (non-accomodation component)</t>
  </si>
  <si>
    <t>Home Based Business</t>
  </si>
  <si>
    <t>Car Washing Station</t>
  </si>
  <si>
    <t>General Industry</t>
  </si>
  <si>
    <t>Sales or Hire Yard</t>
  </si>
  <si>
    <t>Service Industry</t>
  </si>
  <si>
    <t>Storage or Contractors Yard</t>
  </si>
  <si>
    <t>Transport Depot</t>
  </si>
  <si>
    <t>Vehicle Repair Premises</t>
  </si>
  <si>
    <t>Warehouse</t>
  </si>
  <si>
    <t>Place of Worship</t>
  </si>
  <si>
    <t>Hospital</t>
  </si>
  <si>
    <t>Institutional Residence</t>
  </si>
  <si>
    <t>Educational Establishment</t>
  </si>
  <si>
    <t>Commercial Animal Keeping</t>
  </si>
  <si>
    <t>Stables</t>
  </si>
  <si>
    <t>Charge Catchment</t>
  </si>
  <si>
    <t>Date</t>
  </si>
  <si>
    <t>Base</t>
  </si>
  <si>
    <t>RBCI</t>
  </si>
  <si>
    <t>Rate ($/unit)</t>
  </si>
  <si>
    <t>Development Type</t>
  </si>
  <si>
    <t>Recongfiguration of Lot</t>
  </si>
  <si>
    <t>Type</t>
  </si>
  <si>
    <t>Qty</t>
  </si>
  <si>
    <t>Units</t>
  </si>
  <si>
    <t xml:space="preserve"> </t>
  </si>
  <si>
    <t>Sub-total</t>
  </si>
  <si>
    <t>A = Demand</t>
  </si>
  <si>
    <t>B = Existing Lawful Use</t>
  </si>
  <si>
    <t>2.</t>
  </si>
  <si>
    <t>3.</t>
  </si>
  <si>
    <t>4.</t>
  </si>
  <si>
    <t>5.</t>
  </si>
  <si>
    <t>Base Rate</t>
  </si>
  <si>
    <t>Developer Contribution Charge</t>
  </si>
  <si>
    <t>HR = Developer Contribution Rate</t>
  </si>
  <si>
    <t>Reference Data - Do not delete</t>
  </si>
  <si>
    <t>Working Table</t>
  </si>
  <si>
    <t>1.</t>
  </si>
  <si>
    <t>City Plan Policy 3, Section 2 - Headworks</t>
  </si>
  <si>
    <t>Use</t>
  </si>
  <si>
    <t>Magnetic Island</t>
  </si>
  <si>
    <t>Mainland (Balance)</t>
  </si>
  <si>
    <t>Rocky Springs</t>
  </si>
  <si>
    <t>EP/unit</t>
  </si>
  <si>
    <t>EP's</t>
  </si>
  <si>
    <t>$/EP</t>
  </si>
  <si>
    <t>Sewer</t>
  </si>
  <si>
    <t>Water</t>
  </si>
  <si>
    <t>Developer Contribution Calculator</t>
  </si>
  <si>
    <t>Welcome to the:</t>
  </si>
  <si>
    <t>Townsville City</t>
  </si>
  <si>
    <t>Applicable to the City Plan 2005 planning scheme policies</t>
  </si>
  <si>
    <t>1. This spreadsheet automates the calculation of developer contributions, to make life easier and consistent for development assessment staff.</t>
  </si>
  <si>
    <t>2. Each policy is represented by a spreadsheet, which contains all equivalency and charge rate data relevant to that infrastructure.</t>
  </si>
  <si>
    <t>3. The user is required to input data particular to the development in each spreadsheet - protection has been applied to non-input data cells.</t>
  </si>
  <si>
    <t>single bed</t>
  </si>
  <si>
    <t>Subordinate dwelling unit</t>
  </si>
  <si>
    <t>site</t>
  </si>
  <si>
    <t>practicioner</t>
  </si>
  <si>
    <t>stal/place</t>
  </si>
  <si>
    <t>room</t>
  </si>
  <si>
    <t>Ablution trough</t>
  </si>
  <si>
    <t>Autopsy table</t>
  </si>
  <si>
    <t>Bain-marie</t>
  </si>
  <si>
    <t>Bar sink (commercial)</t>
  </si>
  <si>
    <t>Bar sink (domestic)</t>
  </si>
  <si>
    <t>Basin</t>
  </si>
  <si>
    <t>Bath</t>
  </si>
  <si>
    <t>Bed pan steriliser &amp; washer (cistern)</t>
  </si>
  <si>
    <t>Bed pan steriliser &amp; washer (flush valve)</t>
  </si>
  <si>
    <t>Bidet</t>
  </si>
  <si>
    <t>Circular wash fountain</t>
  </si>
  <si>
    <t>Cleaner's sink</t>
  </si>
  <si>
    <t>Clothes washing machine (domestic)</t>
  </si>
  <si>
    <t>Combination pan room sink &amp; flushing bowl (flush valve)</t>
  </si>
  <si>
    <t>Dental unit</t>
  </si>
  <si>
    <t>Dishwasher (domestic)</t>
  </si>
  <si>
    <t>Drinking fountain</t>
  </si>
  <si>
    <t>Glass washing machine</t>
  </si>
  <si>
    <t>Tundish</t>
  </si>
  <si>
    <t>Kitchen sink</t>
  </si>
  <si>
    <t>Kitchen sink (commercial)</t>
  </si>
  <si>
    <t>Slop hopper (cistern)</t>
  </si>
  <si>
    <t>Laundry trough</t>
  </si>
  <si>
    <t>Laboratory sink</t>
  </si>
  <si>
    <t>Potato peeler</t>
  </si>
  <si>
    <t>Refrigerated cabinet</t>
  </si>
  <si>
    <t>Sanitary napkin disposal unit</t>
  </si>
  <si>
    <t>Shower</t>
  </si>
  <si>
    <t>Shower bath</t>
  </si>
  <si>
    <t>Slop hopper (flush valve)</t>
  </si>
  <si>
    <t>Steriliser</t>
  </si>
  <si>
    <t>Urinal (2.4m, or 4 stalls)</t>
  </si>
  <si>
    <t>Water closet (cistern)</t>
  </si>
  <si>
    <t>Water closet (flush valve)</t>
  </si>
  <si>
    <t>Group of fixtures in one room (bath, basin, shower, water closet)</t>
  </si>
  <si>
    <t>Fixture</t>
  </si>
  <si>
    <t>Rating</t>
  </si>
  <si>
    <t>Material Change of Use</t>
  </si>
  <si>
    <t>Item</t>
  </si>
  <si>
    <t>Alligator Ck &amp; Julago</t>
  </si>
  <si>
    <t>Fixture Calculator</t>
  </si>
  <si>
    <t>Total</t>
  </si>
  <si>
    <t>(transfer to relevant Qty where fixtures are used)</t>
  </si>
  <si>
    <t>fixture</t>
  </si>
  <si>
    <t>1/5 or part</t>
  </si>
  <si>
    <t>Table Y</t>
  </si>
  <si>
    <t>Working Table II</t>
  </si>
  <si>
    <t>B</t>
  </si>
  <si>
    <t>C</t>
  </si>
  <si>
    <t>H</t>
  </si>
  <si>
    <t>Yes - MCU (other than Magnetic Harbour)</t>
  </si>
  <si>
    <t>No - previous headworks were not paid for this land</t>
  </si>
  <si>
    <t>Have headworks already been paid for this land?</t>
  </si>
  <si>
    <t>Yes - Rezoning or MCU in Magnetic Harbour</t>
  </si>
  <si>
    <t>(A - B) x HR =</t>
  </si>
  <si>
    <t>On-site car parking shortfall</t>
  </si>
  <si>
    <t>Non-prescribed area</t>
  </si>
  <si>
    <t>Prescribed area -Aitkenvale</t>
  </si>
  <si>
    <t>Prescribed area -CBD</t>
  </si>
  <si>
    <t>City Plan Policy 3, Section 4 - Carparking</t>
  </si>
  <si>
    <t>Developer Contribution Rate</t>
  </si>
  <si>
    <t>spaces</t>
  </si>
  <si>
    <t>$/space</t>
  </si>
  <si>
    <t>(1) x (2) =</t>
  </si>
  <si>
    <t>Catchment</t>
  </si>
  <si>
    <t>lots</t>
  </si>
  <si>
    <t>$/lot</t>
  </si>
  <si>
    <t>City Plan Policy 2, Section 3 - Public Open Space</t>
  </si>
  <si>
    <t>All of former Townsville City</t>
  </si>
  <si>
    <t>unit</t>
  </si>
  <si>
    <t>City Plan Policy 2, Section 5 - Road Network Headworks</t>
  </si>
  <si>
    <t>City Plan Policy 2, Section 6 - Stormwater Drainage Headworks</t>
  </si>
  <si>
    <t>Accommodation Building</t>
  </si>
  <si>
    <t>passenger</t>
  </si>
  <si>
    <t>vessel</t>
  </si>
  <si>
    <t>Equivalencies - ROL</t>
  </si>
  <si>
    <t>Equivalencies for previous rezoning</t>
  </si>
  <si>
    <t>Equivalencies - MCU</t>
  </si>
  <si>
    <t>Fixture Unit Ratings</t>
  </si>
  <si>
    <t>Yes - Rezoning (other than Magnetic Harbour)</t>
  </si>
  <si>
    <t>Yes - Subdivision</t>
  </si>
  <si>
    <t>Adjust. factor</t>
  </si>
  <si>
    <t>Indexed Rate</t>
  </si>
  <si>
    <t>(A - B) x SWHR =</t>
  </si>
  <si>
    <t>SWHR = Developer Contribution Rate</t>
  </si>
  <si>
    <t>No. of additional lots/units</t>
  </si>
  <si>
    <t>(Sewer)</t>
  </si>
  <si>
    <t>(water)</t>
  </si>
  <si>
    <t>Developer Contribution Charge (RNH)</t>
  </si>
  <si>
    <t>Developer Contribution Charge (H)</t>
  </si>
  <si>
    <t>Developer Contribution Rate (HS &amp; HW)</t>
  </si>
  <si>
    <t>(A - B) x (HS + HW) =</t>
  </si>
  <si>
    <t>Amount</t>
  </si>
  <si>
    <t>At time of deciding a development application</t>
  </si>
  <si>
    <t>1. Fill out the application details in the 'Summary' worksheet, then proceed through the other worksheets which represent the relevant policies.</t>
  </si>
  <si>
    <t>At time of payment</t>
  </si>
  <si>
    <t>Notes</t>
  </si>
  <si>
    <t>Details</t>
  </si>
  <si>
    <t>Name of Applicant</t>
  </si>
  <si>
    <t>Development Application No.</t>
  </si>
  <si>
    <t>Address</t>
  </si>
  <si>
    <t>Description</t>
  </si>
  <si>
    <t>Calculation Date</t>
  </si>
  <si>
    <t>Council Officer</t>
  </si>
  <si>
    <t>Indexation</t>
  </si>
  <si>
    <t>Value</t>
  </si>
  <si>
    <t>Quarter</t>
  </si>
  <si>
    <t>Jun '08</t>
  </si>
  <si>
    <t>CPI</t>
  </si>
  <si>
    <t>(At time of payment - update this to the last June Quarter)</t>
  </si>
  <si>
    <t>Outputs</t>
  </si>
  <si>
    <t>Reciept Code</t>
  </si>
  <si>
    <t>Summary - Developer Contributions (Townsville)</t>
  </si>
  <si>
    <t>Note - Base Rate &amp; RBCI set per policy, updated RBCI as per 'Summary'</t>
  </si>
  <si>
    <t>Jun '06</t>
  </si>
  <si>
    <t>Version</t>
  </si>
  <si>
    <t>Date introduced</t>
  </si>
  <si>
    <t>Policies Effective from</t>
  </si>
  <si>
    <t>Changes made</t>
  </si>
  <si>
    <t>(from  27/10/08)</t>
  </si>
  <si>
    <t>Code</t>
  </si>
  <si>
    <t>P0090</t>
  </si>
  <si>
    <t>P0085</t>
  </si>
  <si>
    <t>P0100</t>
  </si>
  <si>
    <t>CON05</t>
  </si>
  <si>
    <t>CON10</t>
  </si>
  <si>
    <t>CON25</t>
  </si>
  <si>
    <t>CON30</t>
  </si>
  <si>
    <t>Disclaimer</t>
  </si>
  <si>
    <t>(from 30/6/09)</t>
  </si>
  <si>
    <t>Rate ($/EP)</t>
  </si>
  <si>
    <t>Reconfiguration of Lot</t>
  </si>
  <si>
    <t>MCU Equivalencies</t>
  </si>
  <si>
    <t>Caravan Park - urban</t>
  </si>
  <si>
    <t>Caravan Park - rural</t>
  </si>
  <si>
    <t>Caretaker's Residence &lt;120m2 GFA</t>
  </si>
  <si>
    <t>Caretaker's Residence &gt;120m2 GFA</t>
  </si>
  <si>
    <t>Display Home</t>
  </si>
  <si>
    <t>Garden Centre</t>
  </si>
  <si>
    <t>Hotel - accommodation component</t>
  </si>
  <si>
    <t>Hotel - non-accommodation component</t>
  </si>
  <si>
    <t>Indoor recreation - squash or other court</t>
  </si>
  <si>
    <t>Indoor recreation - Theatre/cinema</t>
  </si>
  <si>
    <t>Indoor recreation - gymnasium</t>
  </si>
  <si>
    <t>Indoor recreation - other</t>
  </si>
  <si>
    <t>Intensive Animal Husbandry</t>
  </si>
  <si>
    <t>Landscape Supplies</t>
  </si>
  <si>
    <t>Market</t>
  </si>
  <si>
    <t>Multiple Dwelling - up to 2 bedrooms</t>
  </si>
  <si>
    <t>Multiple Dwelling - 3 or more bedrooms</t>
  </si>
  <si>
    <t>Outdoor Recreation - Tennis or other court</t>
  </si>
  <si>
    <t>Outdoor Recreation - Lawn Bowls</t>
  </si>
  <si>
    <t>Outdoor Recreation - Swimming Pools</t>
  </si>
  <si>
    <t>Outdoor Recreation - Golf Course</t>
  </si>
  <si>
    <t>Outdoor Recreation - Club House</t>
  </si>
  <si>
    <t>Retirement Village - Self contained dwelling</t>
  </si>
  <si>
    <t>Retirement Village - Hostel units</t>
  </si>
  <si>
    <t>Retirement Village - Nursing Home</t>
  </si>
  <si>
    <t>Sales or Hire Yard - large products</t>
  </si>
  <si>
    <t>Sales or Hire Yard - other</t>
  </si>
  <si>
    <t>Service Station - fuel pumps</t>
  </si>
  <si>
    <t>Service Station - Service Bays</t>
  </si>
  <si>
    <t>Service Station - Shop, restaurant, etc</t>
  </si>
  <si>
    <t>Shopping Complex 0 - 10,000m2 GFA</t>
  </si>
  <si>
    <t>Shopping Complex 10,000 - 20,000m2 GFA</t>
  </si>
  <si>
    <t>Shopping Complex 20,000 - 30,000m2 GFA</t>
  </si>
  <si>
    <t>Shopping Complex 30,000 - 40,000m2 GFA</t>
  </si>
  <si>
    <t>Showroom</t>
  </si>
  <si>
    <t>TDU/unit</t>
  </si>
  <si>
    <t>lettable room</t>
  </si>
  <si>
    <t>ROL Equivalencies</t>
  </si>
  <si>
    <t>Medium Density Residential'</t>
  </si>
  <si>
    <t>Sub Regional Centre</t>
  </si>
  <si>
    <t>lot</t>
  </si>
  <si>
    <t>enrollment</t>
  </si>
  <si>
    <t>Funeral Director's Premises</t>
  </si>
  <si>
    <t>court</t>
  </si>
  <si>
    <t>seat</t>
  </si>
  <si>
    <t>stall</t>
  </si>
  <si>
    <t>green</t>
  </si>
  <si>
    <t>hole</t>
  </si>
  <si>
    <t>bed</t>
  </si>
  <si>
    <t>pump</t>
  </si>
  <si>
    <t>Marina - wet berths for boats &lt;10m</t>
  </si>
  <si>
    <t>berth</t>
  </si>
  <si>
    <t>Marina - wet berths for boats 10 - 15m</t>
  </si>
  <si>
    <t>Marina - wet berths for boats &gt;15m</t>
  </si>
  <si>
    <t>Marina - dry berth or swing mooring</t>
  </si>
  <si>
    <t>Marina - ancillary activities</t>
  </si>
  <si>
    <t>Transport Terminal - cruise ships</t>
  </si>
  <si>
    <t>Transport Terminal - military ships</t>
  </si>
  <si>
    <t>Transport Terminal - other</t>
  </si>
  <si>
    <t>Works</t>
  </si>
  <si>
    <t>Land</t>
  </si>
  <si>
    <t>SCR ($/TDU)</t>
  </si>
  <si>
    <t>TCC ($/TDU)</t>
  </si>
  <si>
    <t>Base Developer Contribution Rates (2006)</t>
  </si>
  <si>
    <t>TCC Works</t>
  </si>
  <si>
    <t>TCC Land</t>
  </si>
  <si>
    <t>SCR Works</t>
  </si>
  <si>
    <t>SCR Land</t>
  </si>
  <si>
    <t>Index</t>
  </si>
  <si>
    <t>$/TDU</t>
  </si>
  <si>
    <t>TDU's</t>
  </si>
  <si>
    <t>(from  30/6/09)</t>
  </si>
  <si>
    <t>Note - Base Rate, CPI &amp; RBCI set per policy, updated as per 'Summary'</t>
  </si>
  <si>
    <t>Sector 1   (CBD - North Ward)</t>
  </si>
  <si>
    <t>Sector 2   (S. Townsville - Railway Estate)</t>
  </si>
  <si>
    <t>Sector 3   (Garbutt, W. End, Belgian Gdns)</t>
  </si>
  <si>
    <t>Sector 4   (Hyde Pk., M'burra, Cranbrook)</t>
  </si>
  <si>
    <t>Sector 5   (Oonoomba - Roseneath)</t>
  </si>
  <si>
    <t>Sector 6   (Douglas - Annandale)</t>
  </si>
  <si>
    <t>Sector 9   (Julago - Woodstock)</t>
  </si>
  <si>
    <t>Sector 10   (Mt. Louisa - Pallarenda)</t>
  </si>
  <si>
    <t>Sector 11   (Magnetic Island)</t>
  </si>
  <si>
    <t>Reconfiguration Equivalencies</t>
  </si>
  <si>
    <t>EDU/unit</t>
  </si>
  <si>
    <t>Land use</t>
  </si>
  <si>
    <t>Single dwelling unit</t>
  </si>
  <si>
    <t>Commercial or retail uses</t>
  </si>
  <si>
    <t>Industrial uses</t>
  </si>
  <si>
    <t>dwelling</t>
  </si>
  <si>
    <t>Residential</t>
  </si>
  <si>
    <t>Precinct Type</t>
  </si>
  <si>
    <t>Commercial</t>
  </si>
  <si>
    <t>Retail</t>
  </si>
  <si>
    <t>Industrial</t>
  </si>
  <si>
    <t>EDU's</t>
  </si>
  <si>
    <t>Multiple dwelling units</t>
  </si>
  <si>
    <t>$/EDU</t>
  </si>
  <si>
    <t>Location</t>
  </si>
  <si>
    <t>Mainland (City Plan area)</t>
  </si>
  <si>
    <t>Base Rates (2008)</t>
  </si>
  <si>
    <t>TCC</t>
  </si>
  <si>
    <t>SCR</t>
  </si>
  <si>
    <t>Receipt Code</t>
  </si>
  <si>
    <t>100m² GFA</t>
  </si>
  <si>
    <t>100m² TUA</t>
  </si>
  <si>
    <t>400m² site area</t>
  </si>
  <si>
    <t>Car Parking Charge Rates (Jun 2008)</t>
  </si>
  <si>
    <t>Developer Contribution Rates (Jun '08)</t>
  </si>
  <si>
    <t>Note</t>
  </si>
  <si>
    <t>Jun '09</t>
  </si>
  <si>
    <t>(from 27/10/09)</t>
  </si>
  <si>
    <t>Sewer amendment</t>
  </si>
  <si>
    <t>CON110</t>
  </si>
  <si>
    <t>CON120</t>
  </si>
  <si>
    <t>CON130</t>
  </si>
  <si>
    <t>CON140</t>
  </si>
  <si>
    <t>CON150</t>
  </si>
  <si>
    <t>CON160</t>
  </si>
  <si>
    <t>CON190</t>
  </si>
  <si>
    <t>CON85</t>
  </si>
  <si>
    <t>CON1110</t>
  </si>
  <si>
    <t>CON210</t>
  </si>
  <si>
    <t>CON220</t>
  </si>
  <si>
    <t>CON230</t>
  </si>
  <si>
    <t>CON240</t>
  </si>
  <si>
    <t>CON250</t>
  </si>
  <si>
    <t>CON260</t>
  </si>
  <si>
    <t>CON290</t>
  </si>
  <si>
    <t>CON55</t>
  </si>
  <si>
    <t>CON2110</t>
  </si>
  <si>
    <t>3. Select 'Matching Land Use' to match items in 'Land Use'</t>
  </si>
  <si>
    <t>4. Reconfiguration development is not applicable</t>
  </si>
  <si>
    <t>1. 'Land use' and 'Gross Contribution' sourced from Roads worksheet</t>
  </si>
  <si>
    <t>2. 'Gross Contribution' has deducted credits applicable for existing lawful uses</t>
  </si>
  <si>
    <t>Waiver (%)</t>
  </si>
  <si>
    <t>2.2 Result:</t>
  </si>
  <si>
    <t>Sector 10a</t>
  </si>
  <si>
    <t>Sector 10b</t>
  </si>
  <si>
    <t>Sector 1</t>
  </si>
  <si>
    <t>Sector 2</t>
  </si>
  <si>
    <t>Sector 3</t>
  </si>
  <si>
    <t>Sector 4</t>
  </si>
  <si>
    <t>Sector 5</t>
  </si>
  <si>
    <t>Sector 6</t>
  </si>
  <si>
    <t>Sector 7</t>
  </si>
  <si>
    <t>Sector 8</t>
  </si>
  <si>
    <t>Sector 9</t>
  </si>
  <si>
    <t>Sector 10</t>
  </si>
  <si>
    <t>Sector 11 (Magnetic Is)</t>
  </si>
  <si>
    <t>Rate</t>
  </si>
  <si>
    <t>Land Use</t>
  </si>
  <si>
    <t>Discount</t>
  </si>
  <si>
    <t>Comment</t>
  </si>
  <si>
    <t>Recognition that Child Care Centres selection is frequently based on proximity to work-home travel route &amp; that new facilities will improve supply &amp; choice &amp; potentially reduce road network demand.</t>
  </si>
  <si>
    <t>Education Establishment (Primary School)</t>
  </si>
  <si>
    <t>Recognition that primary schools are generally local and new facilities will reduce demand on roads network. Also equity considerations as State Schools do not pay infrastructure charges.</t>
  </si>
  <si>
    <t>Education Establishment (Secondary School)</t>
  </si>
  <si>
    <t>Recognition that new secondary school developments, while attracting a wider catchment that may use sectoral/regional roads, will reduce trip length and traffic demand. Also equity considerations as State Schools do not pay infrastructure charges.</t>
  </si>
  <si>
    <t>Medical Centre (small, practitioners = or &lt; 3)</t>
  </si>
  <si>
    <t>Recognition that small medical centres service local communities and new facilities will reduce demand on roads network.</t>
  </si>
  <si>
    <t>Medical Centre (large, practitioners &gt; 3)</t>
  </si>
  <si>
    <t xml:space="preserve">Recognition that new larger medical centre developments, whilst having a larger catchment &amp; therefore placing higher road network demands than smaller centres, still provide some local containment. </t>
  </si>
  <si>
    <t>Function Room (COT)</t>
  </si>
  <si>
    <t>Indoor Recreation (licensed or unlicensed club, TCC)</t>
  </si>
  <si>
    <t>Recognition that new function room developments, whilst having a large catchment &amp; therefore placing significant demand on road networks, do provide some local containment.</t>
  </si>
  <si>
    <t>Recognition that Carwash facilities service local communities and new facilities will significantly reduce demand on roads network.</t>
  </si>
  <si>
    <t>Garden Centre (local)</t>
  </si>
  <si>
    <t>Recognition that local garden centres service local communities and new facilities will reduce demand on road network.</t>
  </si>
  <si>
    <t>Recognition that home based businesses have limited demand on road network.</t>
  </si>
  <si>
    <t>Hotel (non-accommodation component)</t>
  </si>
  <si>
    <t>Recognition that new hotel developments, whilst having a large catchment &amp; therefore placing significant demand on road networks, do provide some local containment.</t>
  </si>
  <si>
    <t>Recognition that new private hospital developments, whilst having a large catchment &amp; therefore placing additional demand on road networks, do provide some level of local containment.</t>
  </si>
  <si>
    <t>Indoor Recreation (squash or court)</t>
  </si>
  <si>
    <t>Recognition that indoor recreation facilities generally service local communities and new facilities will reduce demand on road network.</t>
  </si>
  <si>
    <t>Indoor Recreation (theatre/cinema)</t>
  </si>
  <si>
    <t>Recognition that theatre/cinema developments, whilst having a large catchment &amp; therefore placing significant demand on road networks, do provide some local containment.</t>
  </si>
  <si>
    <t>Indoor Recreation (gym)</t>
  </si>
  <si>
    <t>Indoor Recreation (other)</t>
  </si>
  <si>
    <t>Outdoor Recreation (squash or court)</t>
  </si>
  <si>
    <t>Recognition that outdoor recreation facilities generally service local communities and new facilities will reduce demand on road network.</t>
  </si>
  <si>
    <t>Outdoor Recreation (lawn bowls)</t>
  </si>
  <si>
    <t>Outdoor Recreation (swimming pool)</t>
  </si>
  <si>
    <t>Outdoor Recreation (clubhouse &lt; 250 sqm total clubhouse floor space &amp; no gaming machine licence)</t>
  </si>
  <si>
    <t>Recognition of the benefit provided by small local community sport and recreation based clubhouses.</t>
  </si>
  <si>
    <t>Office (TCC)</t>
  </si>
  <si>
    <t>Professional Offices (COT)</t>
  </si>
  <si>
    <t>Recognition that office developments, whilst generally having a large catchment &amp; therefore placing significant demand on road networks, do potentially provide some local containment.</t>
  </si>
  <si>
    <t>Place of Worship (TCC)</t>
  </si>
  <si>
    <t>Place of Public Worship (COT)</t>
  </si>
  <si>
    <t>Recognition of the role and nature of recognised religious places of worship.</t>
  </si>
  <si>
    <t>Restaurant (up to 100 seat)</t>
  </si>
  <si>
    <t>Recognition that small restaurants generally service local communities and new developments will improve amenity and reduce demand on road network.</t>
  </si>
  <si>
    <t>Service Industry (TCC)</t>
  </si>
  <si>
    <t>service premises (COT)</t>
  </si>
  <si>
    <t>Recognition that service industries generally serve local communities and new facilities will reduce demand on road network.</t>
  </si>
  <si>
    <t>Service Station (all components)</t>
  </si>
  <si>
    <t>Generally located on, and reliant upon, major arterials. Limited local containment</t>
  </si>
  <si>
    <t>Shop (&lt;600m2 GFA)</t>
  </si>
  <si>
    <t>Recognition that small local shops generally service local communities and new developments will improve amenity and convenience and reduce demand on road network.</t>
  </si>
  <si>
    <t>Shopping Complex (1-10,000m2 GFA) (TCC)</t>
  </si>
  <si>
    <t>Shopping Centre (1 – 10,000m2 GFA) (COT)</t>
  </si>
  <si>
    <t>Recognition that small to medium neighbourhood centre generally service local communities and new facilities will improve amenity and convenience and reduce demand on road network.</t>
  </si>
  <si>
    <t>Showroom (0 - 600m2 GFA)</t>
  </si>
  <si>
    <t>The size zoning match retail, as effectively same zoning.</t>
  </si>
  <si>
    <t>Convenience Centre (COT)</t>
  </si>
  <si>
    <t>Recognition that convenience centres service local communities and new developments will improve amenity and reduce demand on road network.</t>
  </si>
  <si>
    <t>Waiver 1</t>
  </si>
  <si>
    <t>Car wash</t>
  </si>
  <si>
    <t>No match</t>
  </si>
  <si>
    <t>Waiver 2 =</t>
  </si>
  <si>
    <t>Waivers ($)</t>
  </si>
  <si>
    <t>Gross Charge ($)</t>
  </si>
  <si>
    <t>Net Charge Payable ($)</t>
  </si>
  <si>
    <t>Table A - Discount Rates</t>
  </si>
  <si>
    <t>Top of Page</t>
  </si>
  <si>
    <t>Introduced Waiver worksheet re Council resolution dated 23/3/2010 allowing consideration of road transport discounts for non-residential development. Modified Summary and Welcome sheets. Corrected date of council resolution 23/6/2009 relevant to 33% road infrastructure contribution discount.</t>
  </si>
  <si>
    <t>TDU</t>
  </si>
  <si>
    <t>Table B- Traffic Demand Referral Trigger</t>
  </si>
  <si>
    <t>Corrected Summary sheet error to allow other non-road charges to be represented in the net charge column.</t>
  </si>
  <si>
    <t>3. Waiver 3</t>
  </si>
  <si>
    <t>3.1 Specific criteria:</t>
  </si>
  <si>
    <t>3.2 Result:</t>
  </si>
  <si>
    <t>Waiver 3</t>
  </si>
  <si>
    <t>4. Applicable Waiver</t>
  </si>
  <si>
    <t>Introdcued Wavier 3 and State Govt restriction on CPI indexation past June 2009</t>
  </si>
  <si>
    <t>Indexation past June 2009 modified to be RBCI default, but CPI if RBCI movements greater than CPI movements</t>
  </si>
  <si>
    <t>Indexation Factor</t>
  </si>
  <si>
    <t>Updated ABS indicies for Jun '10</t>
  </si>
  <si>
    <t>Corrected error in summary</t>
  </si>
  <si>
    <t>Corrected references to PIA in the waiver sheet</t>
  </si>
  <si>
    <t>Lot Size</t>
  </si>
  <si>
    <t>No. of lots</t>
  </si>
  <si>
    <t>Waiver ($ Jun '09 )</t>
  </si>
  <si>
    <t>Demand (EP)</t>
  </si>
  <si>
    <r>
      <t>Residential allotment less than 200m</t>
    </r>
    <r>
      <rPr>
        <vertAlign val="superscript"/>
        <sz val="11"/>
        <rFont val="Arial"/>
        <family val="2"/>
      </rPr>
      <t>2</t>
    </r>
  </si>
  <si>
    <r>
      <t>Residential allotment 200m</t>
    </r>
    <r>
      <rPr>
        <vertAlign val="superscript"/>
        <sz val="11"/>
        <rFont val="Arial"/>
        <family val="2"/>
      </rPr>
      <t>2</t>
    </r>
    <r>
      <rPr>
        <sz val="11"/>
        <rFont val="Arial"/>
        <family val="2"/>
      </rPr>
      <t xml:space="preserve"> to 299m</t>
    </r>
    <r>
      <rPr>
        <vertAlign val="superscript"/>
        <sz val="11"/>
        <rFont val="Arial"/>
        <family val="2"/>
      </rPr>
      <t>2</t>
    </r>
  </si>
  <si>
    <r>
      <t>Residential allotment 300m</t>
    </r>
    <r>
      <rPr>
        <vertAlign val="superscript"/>
        <sz val="11"/>
        <rFont val="Arial"/>
        <family val="2"/>
      </rPr>
      <t>2</t>
    </r>
    <r>
      <rPr>
        <sz val="11"/>
        <rFont val="Arial"/>
        <family val="2"/>
      </rPr>
      <t xml:space="preserve"> to 399m</t>
    </r>
    <r>
      <rPr>
        <vertAlign val="superscript"/>
        <sz val="11"/>
        <rFont val="Arial"/>
        <family val="2"/>
      </rPr>
      <t>2</t>
    </r>
  </si>
  <si>
    <r>
      <t>Residential allotment 400m</t>
    </r>
    <r>
      <rPr>
        <vertAlign val="superscript"/>
        <sz val="11"/>
        <rFont val="Arial"/>
        <family val="2"/>
      </rPr>
      <t>2</t>
    </r>
    <r>
      <rPr>
        <sz val="11"/>
        <rFont val="Arial"/>
        <family val="2"/>
      </rPr>
      <t xml:space="preserve"> or larger</t>
    </r>
  </si>
  <si>
    <t>Credit (EP)</t>
  </si>
  <si>
    <t>Non-residential allotment</t>
  </si>
  <si>
    <t>Result:</t>
  </si>
  <si>
    <t>Corrected error in Waiver 3 (may apply to non-urban development)</t>
  </si>
  <si>
    <t>Long Term Accommodation</t>
  </si>
  <si>
    <t>Minor Uses</t>
  </si>
  <si>
    <t>Short term accommodation</t>
  </si>
  <si>
    <t>Low impact rural</t>
  </si>
  <si>
    <t>High impact rural</t>
  </si>
  <si>
    <t>Specialist uses</t>
  </si>
  <si>
    <t>Industry</t>
  </si>
  <si>
    <t>Long term accommodation</t>
  </si>
  <si>
    <t>Commercial (retail)</t>
  </si>
  <si>
    <t>Education</t>
  </si>
  <si>
    <t>Assembly</t>
  </si>
  <si>
    <t>Commercial (office)</t>
  </si>
  <si>
    <t>Commercial (bulk goods)</t>
  </si>
  <si>
    <t>High impact industry</t>
  </si>
  <si>
    <t>Essential services</t>
  </si>
  <si>
    <t>Entertainment</t>
  </si>
  <si>
    <t>Maximum standard charge grouping</t>
  </si>
  <si>
    <t>Max. std. charge grouping</t>
  </si>
  <si>
    <t>m2 GFA</t>
  </si>
  <si>
    <t>Water, sewer, transport, parks</t>
  </si>
  <si>
    <t>Transport only</t>
  </si>
  <si>
    <t>Stormwater</t>
  </si>
  <si>
    <t>Residential (1 or 2 bedroom)</t>
  </si>
  <si>
    <t>Residential (3 or more bedroom)</t>
  </si>
  <si>
    <t>Non-residential</t>
  </si>
  <si>
    <t>Transport</t>
  </si>
  <si>
    <t>TBA</t>
  </si>
  <si>
    <t>Water, sewer, transport, parks, stormwater</t>
  </si>
  <si>
    <t>Infrastructure</t>
  </si>
  <si>
    <t>Fraction impervious for ROL</t>
  </si>
  <si>
    <t>Amount ($)</t>
  </si>
  <si>
    <t>Table - Charge Rates (Residential, and accomodation uses)</t>
  </si>
  <si>
    <t>Table - Charge Rates (Non-residential, excl. accomodation uses)</t>
  </si>
  <si>
    <t>Table - Non-residential land use definitions (excl. accomodation uses)</t>
  </si>
  <si>
    <t>Table - Residential land use definitions (incl. accomodation uses)</t>
  </si>
  <si>
    <t>Table - Max std charge grouping</t>
  </si>
  <si>
    <t>Use this last line to manually enter undefined, TBA or unlisted land uses</t>
  </si>
  <si>
    <t>room or site</t>
  </si>
  <si>
    <t>Parks</t>
  </si>
  <si>
    <t>Reduced Charge</t>
  </si>
  <si>
    <t>Agriculture (Intensive horticulture)</t>
  </si>
  <si>
    <t>Agriculture (Permanent plantations)</t>
  </si>
  <si>
    <t>Agriculture (Wholesale nursery)</t>
  </si>
  <si>
    <t>Agriculture (Winery)</t>
  </si>
  <si>
    <t>Animal Husbandry (Animal husbandry)</t>
  </si>
  <si>
    <t>Bed and Breakfast (Home based business)</t>
  </si>
  <si>
    <t>Car Washing Station (Low Impact Industry)</t>
  </si>
  <si>
    <t>Catering Shop (Food &amp; drink outlet)</t>
  </si>
  <si>
    <t>Commercial Animal Keeping (Animal keeping)</t>
  </si>
  <si>
    <t>Contractor's Yard (Warehouse)</t>
  </si>
  <si>
    <t>Cultural Facilities (Community use)</t>
  </si>
  <si>
    <t>Display Home (Sales office)</t>
  </si>
  <si>
    <t>Fast Food Outlet (Food &amp; drink outlet)</t>
  </si>
  <si>
    <t>Funeral Director's Premises (Funeral parlour)</t>
  </si>
  <si>
    <t>General Industry (High impact industry)</t>
  </si>
  <si>
    <t>General Industry (Low impact industry)</t>
  </si>
  <si>
    <t>General Industry (Medium impact industry)</t>
  </si>
  <si>
    <t>General Industry (Noxious &amp; hazardous industries)</t>
  </si>
  <si>
    <t>General Industry (Research &amp; technology industry)</t>
  </si>
  <si>
    <t>Hotel (Hotel (non-res. component))</t>
  </si>
  <si>
    <t>Indoor Recreation (Club)</t>
  </si>
  <si>
    <t>Indoor Recreation (Function facility)</t>
  </si>
  <si>
    <t>Indoor Recreation (Indoor sport &amp; recreation facility)</t>
  </si>
  <si>
    <t>Indoor Recreation (Major sport, recreation &amp; entertainment facility)</t>
  </si>
  <si>
    <t>Indoor Recreation (Theatre)</t>
  </si>
  <si>
    <t>Indoor Recreation (Nightclub)</t>
  </si>
  <si>
    <t>Indoor Recreation (Tourist attraction)</t>
  </si>
  <si>
    <t>Institutional Residence (Community care centre)</t>
  </si>
  <si>
    <t>Institutional Residence (Correctional facility)</t>
  </si>
  <si>
    <t>Institutional Residence (Residential care facility)</t>
  </si>
  <si>
    <t>Intensive Animal Husbandry (Intensive animal industries)</t>
  </si>
  <si>
    <t>Landscape Supplies (Bulk landscape supplies)</t>
  </si>
  <si>
    <t>Local Utility (Utility installation)</t>
  </si>
  <si>
    <t>Major Telecommunications Facility (Telecommunications facility)</t>
  </si>
  <si>
    <t>Major Utility (Cemetery)</t>
  </si>
  <si>
    <t>Major Utility (Crematorium)</t>
  </si>
  <si>
    <t>Major Utility (Emergency services)</t>
  </si>
  <si>
    <t>Major Utility (Utility installation)</t>
  </si>
  <si>
    <t>Major Utility (Wind farm)</t>
  </si>
  <si>
    <t>Medical Centre (Health care services)</t>
  </si>
  <si>
    <t>Minor or Temporary Telecommunications Facility (Telecommunications facility)</t>
  </si>
  <si>
    <t>Outdoor Recreation (Major sport, recreation &amp; entertainment facility)</t>
  </si>
  <si>
    <t>Outdoor Recreation (Motor sport)</t>
  </si>
  <si>
    <t>Outdoor Recreation (Outdoor sport &amp; recreation)</t>
  </si>
  <si>
    <t>Parkland (Park)</t>
  </si>
  <si>
    <t>Proportion (n/n)</t>
  </si>
  <si>
    <t>note - rural industry uses only charge for transport</t>
  </si>
  <si>
    <t>Residential and accommodation uses charge split</t>
  </si>
  <si>
    <t>Non-residential uses charge split</t>
  </si>
  <si>
    <t>WAIVER</t>
  </si>
  <si>
    <t>Net max. std. charge ($)</t>
  </si>
  <si>
    <t>Waiver ($)</t>
  </si>
  <si>
    <t>(Local government infrastructure contributions)</t>
  </si>
  <si>
    <t>Contribution otherwise payable ($)</t>
  </si>
  <si>
    <t>Waivers 1, 2, 3 &amp; 4</t>
  </si>
  <si>
    <t>Waiver 1, 2 and 3 - Council Resolutions for Road Infrastructure Contribution Waivers</t>
  </si>
  <si>
    <t>Waiver 4 - Council Resolution for Sewer and Water Infrastructure Contribution Waivers</t>
  </si>
  <si>
    <t>Residential/accomodation demand &amp; gross maximum standard charge</t>
  </si>
  <si>
    <t>Non-residential/non-accommodation demand &amp; gross maximum standard charge</t>
  </si>
  <si>
    <t>Introduced Waiver 5 to match draft maximum standard charge arrangements.</t>
  </si>
  <si>
    <t>Waiver 4 introduced for small lot water and sewer discounting as per Council resolution dated 28 September 2010 (DWX 6102736)</t>
  </si>
  <si>
    <t>Correcting an inflationary adjustment error to Open Space</t>
  </si>
  <si>
    <t>Inflationary adjustments for June 2011</t>
  </si>
  <si>
    <t>This calculator is based on, but does not supercede the planning scheme policies for infrastructure. The currency, accuracy and validity of the calculations, including the underlying assumptions and interpretations of the policies are not guaranteed. In this respect, the user is referred to the actual planning scheme policies and provisions of the Sustainable Planning Act 2009.</t>
  </si>
  <si>
    <t>4. Reference is required to the policies for details of application, maps, etc. - this calculator is to be used in conjunction with those policies.</t>
  </si>
  <si>
    <t>REFERENCE MATERIALS (DO NOT DELETE)</t>
  </si>
  <si>
    <t xml:space="preserve">2. Check the CPI and RBCI values are updated to the  2nd preceding financial quarter. - adjust if required   </t>
  </si>
  <si>
    <t>6. Please note the spreadsheet does not always progress to the stage of crediting for works-in-kind.</t>
  </si>
  <si>
    <t xml:space="preserve">to the 2nd preceding financial quarter.  </t>
  </si>
  <si>
    <t>5. The custodian will also update the workbook from time-to-time to accommodate policy amendments - be aware of the currency of the calculator.</t>
  </si>
  <si>
    <t>5a. Check the version is the most up-to-date (i.e., version 4.1 supersedes version 4.0) - use the new version if it applies, otherwise:</t>
  </si>
  <si>
    <t>6. Check the actual development corresponds with the calculations (including Waivers) - adjust if required</t>
  </si>
  <si>
    <t xml:space="preserve">7. Check that the CPI and RBCI values have been updated to those published by the Australian Bureau of Statistics, as applicable </t>
  </si>
  <si>
    <t>8. Print out the 'Summary' and present to the Developer/Customer Service Officer for payment and receipting.</t>
  </si>
  <si>
    <t>4. Attach a copy of the 'Summary' to the development permit</t>
  </si>
  <si>
    <t xml:space="preserve">5. Retrieve the file from the development application folder in Dataworks, </t>
  </si>
  <si>
    <t>3. Save the file  in the relevant development application folder in Dataworks for later reference.</t>
  </si>
  <si>
    <t xml:space="preserve">Amended instructions and notes on welcome sheet, added commentary to summary sheet stating periodic updates of indexation and   updated ABS indices for Sept '11. </t>
  </si>
  <si>
    <t>2a. Applicable Index for 'works'</t>
  </si>
  <si>
    <t xml:space="preserve">(i) Amended  on Summary :  '2a Aplicable index' will apply to 'works' only  (ii) on Summary RBCI removed from 'Land'  and CPI applied      (iii) on Summary CPI  removed from stormwater and indexation no greater than CPI mivements applied     (iv)  Inflationary adjustment for Dec '11 </t>
  </si>
  <si>
    <t>Waiver 6 - 'Council Resolution for Maximum Standard Infrastructure Contribution Waivers</t>
  </si>
  <si>
    <t>Waiver 6</t>
  </si>
  <si>
    <t xml:space="preserve"> (i) updated indices for Mar '12  (ii) Waiver 6 replaced waiver 5 to keep matching with maximum standard charging arrangements.</t>
  </si>
  <si>
    <t>Corrected error giving LFIC waivers and last criteria gate</t>
  </si>
  <si>
    <t>(i) Updated inflationary adjustment for Jun 2012 indices (ii) Provided option for inflationary adjustment for park as per condition of approval.</t>
  </si>
  <si>
    <t xml:space="preserve">Updated for inflationary adjustment for Sep 2012 indices. </t>
  </si>
  <si>
    <t>(i) Updated for inflationary adjustment for Dec 2012 indices (ii) Added note for print error</t>
  </si>
  <si>
    <t xml:space="preserve">Updated for inflationary adjustment for March 2013 indices </t>
  </si>
  <si>
    <t>Updated for inflationary adjustment for Sep 2013 indices</t>
  </si>
  <si>
    <t>Updated for inflationary adjustment for June 2013 indices</t>
  </si>
  <si>
    <t>Updated for inflationary adjustment for Dec 2013 indices</t>
  </si>
  <si>
    <t>Updated for inflationary adjustment for June 2014 indices</t>
  </si>
  <si>
    <t>(i) Updated for inflationary adjustment for March 2014 indices (ii) Applied adjustment in Summary for rounding error</t>
  </si>
  <si>
    <t>Updated for Sep '14 indices</t>
  </si>
  <si>
    <t>Updated for Dec '14 indices</t>
  </si>
  <si>
    <t>Updated for Mar '15 indices</t>
  </si>
  <si>
    <t>Updated for Jun '15 indicies</t>
  </si>
  <si>
    <t>Updated for Sep '15 indices</t>
  </si>
  <si>
    <t>For development applications made from 28 October 2009 until 30 Jun 2011</t>
  </si>
  <si>
    <t>Updated for Dec '15 indices</t>
  </si>
  <si>
    <t>Updated for Mar '16 indices</t>
  </si>
  <si>
    <t>Updated for Jun '16 indices</t>
  </si>
  <si>
    <t>Updated for Sep '16 indices</t>
  </si>
  <si>
    <t>Updated for Dec '16 indices</t>
  </si>
  <si>
    <t>Updated for Mar '17 indicies</t>
  </si>
  <si>
    <t>Updated for Jun '17 indicies</t>
  </si>
  <si>
    <t>Updated for SEP 17 indicies</t>
  </si>
  <si>
    <t>Updated for DEC 17 indicies</t>
  </si>
  <si>
    <t>5.40</t>
  </si>
  <si>
    <t>Updated for March 18 indicies</t>
  </si>
  <si>
    <t>Updated for June 18 indicies</t>
  </si>
  <si>
    <t>updated indicies</t>
  </si>
  <si>
    <t>5.44b</t>
  </si>
  <si>
    <t>5.44a</t>
  </si>
  <si>
    <t>Payment quarter</t>
  </si>
  <si>
    <t>Index. Quarter</t>
  </si>
  <si>
    <t>5.60</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</si>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</sst>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d/m/yyyy;@"/>
    <numFmt numFmtId="172" formatCode="[$-C09]d\ mmmm\ yyyy;@"/>
    <numFmt numFmtId="173" formatCode="mmm\ \'yy"/>
  </numFmts>
  <fonts count="60" x14ac:knownFonts="1">
    <font>
      <sz val="10"/>
      <name val="Arial"/>
    </font>
    <font>
      <sz val="11"/>
      <color theme="1"/>
      <name val="Calibri"/>
      <family val="2"/>
      <scheme val="minor"/>
    </font>
    <font>
      <sz val="11"/>
      <color indexed="8"/>
      <name val="Calibri"/>
      <family val="2"/>
    </font>
    <font>
      <sz val="10"/>
      <name val="Arial"/>
      <family val="2"/>
    </font>
    <font>
      <sz val="8"/>
      <name val="Arial"/>
      <family val="2"/>
    </font>
    <font>
      <b/>
      <sz val="10"/>
      <name val="Arial"/>
      <family val="2"/>
    </font>
    <font>
      <u/>
      <sz val="10"/>
      <name val="Arial"/>
      <family val="2"/>
    </font>
    <font>
      <b/>
      <u/>
      <sz val="10"/>
      <name val="Arial"/>
      <family val="2"/>
    </font>
    <font>
      <b/>
      <sz val="12"/>
      <name val="Arial"/>
      <family val="2"/>
    </font>
    <font>
      <u val="singleAccounting"/>
      <sz val="10"/>
      <name val="Arial"/>
      <family val="2"/>
    </font>
    <font>
      <b/>
      <u val="doubleAccounting"/>
      <sz val="10"/>
      <name val="Arial"/>
      <family val="2"/>
    </font>
    <font>
      <sz val="10"/>
      <name val="Arial"/>
      <family val="2"/>
    </font>
    <font>
      <sz val="24"/>
      <name val="Arial"/>
      <family val="2"/>
    </font>
    <font>
      <sz val="18"/>
      <name val="Arial"/>
      <family val="2"/>
    </font>
    <font>
      <sz val="8"/>
      <name val="Arial"/>
      <family val="2"/>
    </font>
    <font>
      <sz val="9"/>
      <name val="Arial"/>
      <family val="2"/>
    </font>
    <font>
      <u val="singleAccounting"/>
      <sz val="10"/>
      <name val="Arial"/>
      <family val="2"/>
    </font>
    <font>
      <b/>
      <sz val="8"/>
      <name val="Arial"/>
      <family val="2"/>
    </font>
    <font>
      <sz val="11"/>
      <name val="Arial"/>
      <family val="2"/>
    </font>
    <font>
      <sz val="12"/>
      <name val="Arial"/>
      <family val="2"/>
    </font>
    <font>
      <b/>
      <sz val="11"/>
      <name val="Arial"/>
      <family val="2"/>
    </font>
    <font>
      <b/>
      <sz val="11"/>
      <name val="Arial"/>
      <family val="2"/>
    </font>
    <font>
      <sz val="11"/>
      <name val="Arial"/>
      <family val="2"/>
    </font>
    <font>
      <sz val="9"/>
      <name val="Arial"/>
      <family val="2"/>
    </font>
    <font>
      <u/>
      <sz val="9"/>
      <name val="Arial"/>
      <family val="2"/>
    </font>
    <font>
      <b/>
      <u/>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25"/>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u/>
      <sz val="8"/>
      <name val="Arial"/>
      <family val="2"/>
    </font>
    <font>
      <b/>
      <sz val="8"/>
      <name val="Arial Narrow"/>
      <family val="2"/>
    </font>
    <font>
      <sz val="10"/>
      <name val="Arial Narrow"/>
      <family val="2"/>
    </font>
    <font>
      <b/>
      <u/>
      <sz val="8"/>
      <color indexed="12"/>
      <name val="Arial"/>
      <family val="2"/>
    </font>
    <font>
      <u/>
      <sz val="10"/>
      <name val="Arial"/>
      <family val="2"/>
    </font>
    <font>
      <vertAlign val="superscript"/>
      <sz val="11"/>
      <name val="Arial"/>
      <family val="2"/>
    </font>
    <font>
      <sz val="10"/>
      <color indexed="10"/>
      <name val="Arial"/>
      <family val="2"/>
    </font>
    <font>
      <sz val="10"/>
      <color indexed="10"/>
      <name val="Arial"/>
      <family val="2"/>
    </font>
    <font>
      <sz val="10"/>
      <name val="Arial"/>
      <family val="2"/>
    </font>
    <font>
      <sz val="10"/>
      <name val="Arial"/>
      <family val="2"/>
    </font>
    <font>
      <sz val="10"/>
      <name val="Arial"/>
      <family val="2"/>
    </font>
    <font>
      <u/>
      <sz val="10"/>
      <color indexed="12"/>
      <name val="Arial"/>
      <family val="2"/>
    </font>
    <font>
      <sz val="10"/>
      <color theme="1"/>
      <name val="Arial"/>
      <family val="2"/>
    </font>
    <font>
      <sz val="11"/>
      <color theme="1"/>
      <name val="Calibri"/>
      <family val="2"/>
      <scheme val="minor"/>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852">
    <xf numFmtId="0" fontId="0" fillId="0" borderId="0"/>
    <xf numFmtId="0" fontId="26" fillId="2" borderId="0" applyNumberFormat="0" applyBorder="0" applyAlignment="0" applyProtection="0"/>
    <xf numFmtId="172" fontId="2"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 fillId="2" borderId="0" applyNumberFormat="0" applyBorder="0" applyAlignment="0" applyProtection="0"/>
    <xf numFmtId="172" fontId="26" fillId="2" borderId="0" applyNumberFormat="0" applyBorder="0" applyAlignment="0" applyProtection="0"/>
    <xf numFmtId="172" fontId="2" fillId="2" borderId="0" applyNumberFormat="0" applyBorder="0" applyAlignment="0" applyProtection="0"/>
    <xf numFmtId="0" fontId="2" fillId="2" borderId="0" applyNumberFormat="0" applyBorder="0" applyAlignment="0" applyProtection="0"/>
    <xf numFmtId="172" fontId="2" fillId="2" borderId="0" applyNumberFormat="0" applyBorder="0" applyAlignment="0" applyProtection="0"/>
    <xf numFmtId="0" fontId="2" fillId="2" borderId="0" applyNumberFormat="0" applyBorder="0" applyAlignment="0" applyProtection="0"/>
    <xf numFmtId="172" fontId="2" fillId="2" borderId="0" applyNumberFormat="0" applyBorder="0" applyAlignment="0" applyProtection="0"/>
    <xf numFmtId="0" fontId="2" fillId="2" borderId="0" applyNumberFormat="0" applyBorder="0" applyAlignment="0" applyProtection="0"/>
    <xf numFmtId="172" fontId="26" fillId="2" borderId="0" applyNumberFormat="0" applyBorder="0" applyAlignment="0" applyProtection="0"/>
    <xf numFmtId="172" fontId="2" fillId="2" borderId="0" applyNumberFormat="0" applyBorder="0" applyAlignment="0" applyProtection="0"/>
    <xf numFmtId="172" fontId="2" fillId="2" borderId="0" applyNumberFormat="0" applyBorder="0" applyAlignment="0" applyProtection="0"/>
    <xf numFmtId="0" fontId="2" fillId="2" borderId="0" applyNumberFormat="0" applyBorder="0" applyAlignment="0" applyProtection="0"/>
    <xf numFmtId="172"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2"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6" fillId="3" borderId="0" applyNumberFormat="0" applyBorder="0" applyAlignment="0" applyProtection="0"/>
    <xf numFmtId="172" fontId="2"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 fillId="3" borderId="0" applyNumberFormat="0" applyBorder="0" applyAlignment="0" applyProtection="0"/>
    <xf numFmtId="172" fontId="26" fillId="3" borderId="0" applyNumberFormat="0" applyBorder="0" applyAlignment="0" applyProtection="0"/>
    <xf numFmtId="172" fontId="2" fillId="3" borderId="0" applyNumberFormat="0" applyBorder="0" applyAlignment="0" applyProtection="0"/>
    <xf numFmtId="0" fontId="2" fillId="3" borderId="0" applyNumberFormat="0" applyBorder="0" applyAlignment="0" applyProtection="0"/>
    <xf numFmtId="172" fontId="2" fillId="3" borderId="0" applyNumberFormat="0" applyBorder="0" applyAlignment="0" applyProtection="0"/>
    <xf numFmtId="0" fontId="2" fillId="3" borderId="0" applyNumberFormat="0" applyBorder="0" applyAlignment="0" applyProtection="0"/>
    <xf numFmtId="172" fontId="2" fillId="3" borderId="0" applyNumberFormat="0" applyBorder="0" applyAlignment="0" applyProtection="0"/>
    <xf numFmtId="0" fontId="2" fillId="3" borderId="0" applyNumberFormat="0" applyBorder="0" applyAlignment="0" applyProtection="0"/>
    <xf numFmtId="172" fontId="26" fillId="3" borderId="0" applyNumberFormat="0" applyBorder="0" applyAlignment="0" applyProtection="0"/>
    <xf numFmtId="172" fontId="2" fillId="3" borderId="0" applyNumberFormat="0" applyBorder="0" applyAlignment="0" applyProtection="0"/>
    <xf numFmtId="172" fontId="2" fillId="3" borderId="0" applyNumberFormat="0" applyBorder="0" applyAlignment="0" applyProtection="0"/>
    <xf numFmtId="0" fontId="2" fillId="3" borderId="0" applyNumberFormat="0" applyBorder="0" applyAlignment="0" applyProtection="0"/>
    <xf numFmtId="172"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2"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6" fillId="4" borderId="0" applyNumberFormat="0" applyBorder="0" applyAlignment="0" applyProtection="0"/>
    <xf numFmtId="172" fontId="2"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 fillId="4" borderId="0" applyNumberFormat="0" applyBorder="0" applyAlignment="0" applyProtection="0"/>
    <xf numFmtId="172" fontId="26" fillId="4" borderId="0" applyNumberFormat="0" applyBorder="0" applyAlignment="0" applyProtection="0"/>
    <xf numFmtId="172" fontId="2" fillId="4" borderId="0" applyNumberFormat="0" applyBorder="0" applyAlignment="0" applyProtection="0"/>
    <xf numFmtId="0" fontId="2" fillId="4" borderId="0" applyNumberFormat="0" applyBorder="0" applyAlignment="0" applyProtection="0"/>
    <xf numFmtId="172" fontId="2" fillId="4" borderId="0" applyNumberFormat="0" applyBorder="0" applyAlignment="0" applyProtection="0"/>
    <xf numFmtId="0" fontId="2" fillId="4" borderId="0" applyNumberFormat="0" applyBorder="0" applyAlignment="0" applyProtection="0"/>
    <xf numFmtId="172" fontId="2" fillId="4" borderId="0" applyNumberFormat="0" applyBorder="0" applyAlignment="0" applyProtection="0"/>
    <xf numFmtId="0" fontId="2" fillId="4" borderId="0" applyNumberFormat="0" applyBorder="0" applyAlignment="0" applyProtection="0"/>
    <xf numFmtId="172" fontId="26" fillId="4" borderId="0" applyNumberFormat="0" applyBorder="0" applyAlignment="0" applyProtection="0"/>
    <xf numFmtId="172" fontId="2" fillId="4" borderId="0" applyNumberFormat="0" applyBorder="0" applyAlignment="0" applyProtection="0"/>
    <xf numFmtId="172" fontId="2" fillId="4" borderId="0" applyNumberFormat="0" applyBorder="0" applyAlignment="0" applyProtection="0"/>
    <xf numFmtId="0" fontId="2" fillId="4" borderId="0" applyNumberFormat="0" applyBorder="0" applyAlignment="0" applyProtection="0"/>
    <xf numFmtId="172"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2"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6" fillId="5" borderId="0" applyNumberFormat="0" applyBorder="0" applyAlignment="0" applyProtection="0"/>
    <xf numFmtId="172" fontId="2"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 fillId="5" borderId="0" applyNumberFormat="0" applyBorder="0" applyAlignment="0" applyProtection="0"/>
    <xf numFmtId="172" fontId="26"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6" fillId="5" borderId="0" applyNumberFormat="0" applyBorder="0" applyAlignment="0" applyProtection="0"/>
    <xf numFmtId="172"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6" fillId="6" borderId="0" applyNumberFormat="0" applyBorder="0" applyAlignment="0" applyProtection="0"/>
    <xf numFmtId="172" fontId="2"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 fillId="6" borderId="0" applyNumberFormat="0" applyBorder="0" applyAlignment="0" applyProtection="0"/>
    <xf numFmtId="172" fontId="26" fillId="6" borderId="0" applyNumberFormat="0" applyBorder="0" applyAlignment="0" applyProtection="0"/>
    <xf numFmtId="172" fontId="2" fillId="6" borderId="0" applyNumberFormat="0" applyBorder="0" applyAlignment="0" applyProtection="0"/>
    <xf numFmtId="0" fontId="2" fillId="6" borderId="0" applyNumberFormat="0" applyBorder="0" applyAlignment="0" applyProtection="0"/>
    <xf numFmtId="172" fontId="2" fillId="6" borderId="0" applyNumberFormat="0" applyBorder="0" applyAlignment="0" applyProtection="0"/>
    <xf numFmtId="0" fontId="2" fillId="6" borderId="0" applyNumberFormat="0" applyBorder="0" applyAlignment="0" applyProtection="0"/>
    <xf numFmtId="172" fontId="2" fillId="6" borderId="0" applyNumberFormat="0" applyBorder="0" applyAlignment="0" applyProtection="0"/>
    <xf numFmtId="0" fontId="2" fillId="6" borderId="0" applyNumberFormat="0" applyBorder="0" applyAlignment="0" applyProtection="0"/>
    <xf numFmtId="172" fontId="26" fillId="6" borderId="0" applyNumberFormat="0" applyBorder="0" applyAlignment="0" applyProtection="0"/>
    <xf numFmtId="172" fontId="2" fillId="6" borderId="0" applyNumberFormat="0" applyBorder="0" applyAlignment="0" applyProtection="0"/>
    <xf numFmtId="172" fontId="2" fillId="6" borderId="0" applyNumberFormat="0" applyBorder="0" applyAlignment="0" applyProtection="0"/>
    <xf numFmtId="0" fontId="2" fillId="6" borderId="0" applyNumberFormat="0" applyBorder="0" applyAlignment="0" applyProtection="0"/>
    <xf numFmtId="172"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2"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6" fillId="7" borderId="0" applyNumberFormat="0" applyBorder="0" applyAlignment="0" applyProtection="0"/>
    <xf numFmtId="172" fontId="2"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 fillId="7" borderId="0" applyNumberFormat="0" applyBorder="0" applyAlignment="0" applyProtection="0"/>
    <xf numFmtId="172" fontId="26" fillId="7" borderId="0" applyNumberFormat="0" applyBorder="0" applyAlignment="0" applyProtection="0"/>
    <xf numFmtId="172" fontId="2" fillId="7" borderId="0" applyNumberFormat="0" applyBorder="0" applyAlignment="0" applyProtection="0"/>
    <xf numFmtId="0" fontId="2" fillId="7" borderId="0" applyNumberFormat="0" applyBorder="0" applyAlignment="0" applyProtection="0"/>
    <xf numFmtId="172" fontId="2" fillId="7" borderId="0" applyNumberFormat="0" applyBorder="0" applyAlignment="0" applyProtection="0"/>
    <xf numFmtId="0" fontId="2" fillId="7" borderId="0" applyNumberFormat="0" applyBorder="0" applyAlignment="0" applyProtection="0"/>
    <xf numFmtId="172" fontId="2" fillId="7" borderId="0" applyNumberFormat="0" applyBorder="0" applyAlignment="0" applyProtection="0"/>
    <xf numFmtId="0" fontId="2" fillId="7" borderId="0" applyNumberFormat="0" applyBorder="0" applyAlignment="0" applyProtection="0"/>
    <xf numFmtId="172" fontId="26" fillId="7" borderId="0" applyNumberFormat="0" applyBorder="0" applyAlignment="0" applyProtection="0"/>
    <xf numFmtId="172" fontId="2" fillId="7" borderId="0" applyNumberFormat="0" applyBorder="0" applyAlignment="0" applyProtection="0"/>
    <xf numFmtId="172" fontId="2" fillId="7" borderId="0" applyNumberFormat="0" applyBorder="0" applyAlignment="0" applyProtection="0"/>
    <xf numFmtId="0" fontId="2" fillId="7" borderId="0" applyNumberFormat="0" applyBorder="0" applyAlignment="0" applyProtection="0"/>
    <xf numFmtId="172"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2"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6" fillId="8" borderId="0" applyNumberFormat="0" applyBorder="0" applyAlignment="0" applyProtection="0"/>
    <xf numFmtId="172" fontId="2"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 fillId="8" borderId="0" applyNumberFormat="0" applyBorder="0" applyAlignment="0" applyProtection="0"/>
    <xf numFmtId="172" fontId="26"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6" fillId="8" borderId="0" applyNumberFormat="0" applyBorder="0" applyAlignment="0" applyProtection="0"/>
    <xf numFmtId="172"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6" fillId="9" borderId="0" applyNumberFormat="0" applyBorder="0" applyAlignment="0" applyProtection="0"/>
    <xf numFmtId="172" fontId="2"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 fillId="9" borderId="0" applyNumberFormat="0" applyBorder="0" applyAlignment="0" applyProtection="0"/>
    <xf numFmtId="172" fontId="26" fillId="9" borderId="0" applyNumberFormat="0" applyBorder="0" applyAlignment="0" applyProtection="0"/>
    <xf numFmtId="172" fontId="2" fillId="9" borderId="0" applyNumberFormat="0" applyBorder="0" applyAlignment="0" applyProtection="0"/>
    <xf numFmtId="0" fontId="2" fillId="9" borderId="0" applyNumberFormat="0" applyBorder="0" applyAlignment="0" applyProtection="0"/>
    <xf numFmtId="172" fontId="2" fillId="9" borderId="0" applyNumberFormat="0" applyBorder="0" applyAlignment="0" applyProtection="0"/>
    <xf numFmtId="0" fontId="2" fillId="9" borderId="0" applyNumberFormat="0" applyBorder="0" applyAlignment="0" applyProtection="0"/>
    <xf numFmtId="172" fontId="2" fillId="9" borderId="0" applyNumberFormat="0" applyBorder="0" applyAlignment="0" applyProtection="0"/>
    <xf numFmtId="0" fontId="2" fillId="9" borderId="0" applyNumberFormat="0" applyBorder="0" applyAlignment="0" applyProtection="0"/>
    <xf numFmtId="172" fontId="26" fillId="9" borderId="0" applyNumberFormat="0" applyBorder="0" applyAlignment="0" applyProtection="0"/>
    <xf numFmtId="172" fontId="2" fillId="9" borderId="0" applyNumberFormat="0" applyBorder="0" applyAlignment="0" applyProtection="0"/>
    <xf numFmtId="172" fontId="2" fillId="9" borderId="0" applyNumberFormat="0" applyBorder="0" applyAlignment="0" applyProtection="0"/>
    <xf numFmtId="0" fontId="2" fillId="9" borderId="0" applyNumberFormat="0" applyBorder="0" applyAlignment="0" applyProtection="0"/>
    <xf numFmtId="172"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2"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6" fillId="10" borderId="0" applyNumberFormat="0" applyBorder="0" applyAlignment="0" applyProtection="0"/>
    <xf numFmtId="172" fontId="2"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 fillId="10" borderId="0" applyNumberFormat="0" applyBorder="0" applyAlignment="0" applyProtection="0"/>
    <xf numFmtId="172" fontId="26" fillId="10" borderId="0" applyNumberFormat="0" applyBorder="0" applyAlignment="0" applyProtection="0"/>
    <xf numFmtId="172" fontId="2" fillId="10" borderId="0" applyNumberFormat="0" applyBorder="0" applyAlignment="0" applyProtection="0"/>
    <xf numFmtId="0" fontId="2" fillId="10" borderId="0" applyNumberFormat="0" applyBorder="0" applyAlignment="0" applyProtection="0"/>
    <xf numFmtId="172" fontId="2" fillId="10" borderId="0" applyNumberFormat="0" applyBorder="0" applyAlignment="0" applyProtection="0"/>
    <xf numFmtId="0" fontId="2" fillId="10" borderId="0" applyNumberFormat="0" applyBorder="0" applyAlignment="0" applyProtection="0"/>
    <xf numFmtId="172" fontId="2" fillId="10" borderId="0" applyNumberFormat="0" applyBorder="0" applyAlignment="0" applyProtection="0"/>
    <xf numFmtId="0" fontId="2" fillId="10" borderId="0" applyNumberFormat="0" applyBorder="0" applyAlignment="0" applyProtection="0"/>
    <xf numFmtId="172" fontId="26" fillId="10" borderId="0" applyNumberFormat="0" applyBorder="0" applyAlignment="0" applyProtection="0"/>
    <xf numFmtId="172" fontId="2" fillId="10" borderId="0" applyNumberFormat="0" applyBorder="0" applyAlignment="0" applyProtection="0"/>
    <xf numFmtId="172" fontId="2" fillId="10" borderId="0" applyNumberFormat="0" applyBorder="0" applyAlignment="0" applyProtection="0"/>
    <xf numFmtId="0" fontId="2" fillId="10" borderId="0" applyNumberFormat="0" applyBorder="0" applyAlignment="0" applyProtection="0"/>
    <xf numFmtId="172"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2"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6" fillId="5" borderId="0" applyNumberFormat="0" applyBorder="0" applyAlignment="0" applyProtection="0"/>
    <xf numFmtId="172" fontId="2"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 fillId="5" borderId="0" applyNumberFormat="0" applyBorder="0" applyAlignment="0" applyProtection="0"/>
    <xf numFmtId="172" fontId="26"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6" fillId="5" borderId="0" applyNumberFormat="0" applyBorder="0" applyAlignment="0" applyProtection="0"/>
    <xf numFmtId="172"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2"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6" fillId="8" borderId="0" applyNumberFormat="0" applyBorder="0" applyAlignment="0" applyProtection="0"/>
    <xf numFmtId="172" fontId="2"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 fillId="8" borderId="0" applyNumberFormat="0" applyBorder="0" applyAlignment="0" applyProtection="0"/>
    <xf numFmtId="172" fontId="26"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6" fillId="8" borderId="0" applyNumberFormat="0" applyBorder="0" applyAlignment="0" applyProtection="0"/>
    <xf numFmtId="172"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2"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6" fillId="11" borderId="0" applyNumberFormat="0" applyBorder="0" applyAlignment="0" applyProtection="0"/>
    <xf numFmtId="172" fontId="2"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 fillId="11" borderId="0" applyNumberFormat="0" applyBorder="0" applyAlignment="0" applyProtection="0"/>
    <xf numFmtId="172" fontId="26" fillId="11" borderId="0" applyNumberFormat="0" applyBorder="0" applyAlignment="0" applyProtection="0"/>
    <xf numFmtId="172" fontId="2" fillId="11" borderId="0" applyNumberFormat="0" applyBorder="0" applyAlignment="0" applyProtection="0"/>
    <xf numFmtId="0" fontId="2" fillId="11" borderId="0" applyNumberFormat="0" applyBorder="0" applyAlignment="0" applyProtection="0"/>
    <xf numFmtId="172" fontId="2" fillId="11" borderId="0" applyNumberFormat="0" applyBorder="0" applyAlignment="0" applyProtection="0"/>
    <xf numFmtId="0" fontId="2" fillId="11" borderId="0" applyNumberFormat="0" applyBorder="0" applyAlignment="0" applyProtection="0"/>
    <xf numFmtId="172" fontId="2" fillId="11" borderId="0" applyNumberFormat="0" applyBorder="0" applyAlignment="0" applyProtection="0"/>
    <xf numFmtId="0" fontId="2" fillId="11" borderId="0" applyNumberFormat="0" applyBorder="0" applyAlignment="0" applyProtection="0"/>
    <xf numFmtId="172" fontId="26" fillId="11" borderId="0" applyNumberFormat="0" applyBorder="0" applyAlignment="0" applyProtection="0"/>
    <xf numFmtId="172" fontId="2" fillId="11" borderId="0" applyNumberFormat="0" applyBorder="0" applyAlignment="0" applyProtection="0"/>
    <xf numFmtId="172" fontId="2" fillId="11" borderId="0" applyNumberFormat="0" applyBorder="0" applyAlignment="0" applyProtection="0"/>
    <xf numFmtId="0" fontId="2" fillId="11" borderId="0" applyNumberFormat="0" applyBorder="0" applyAlignment="0" applyProtection="0"/>
    <xf numFmtId="172"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2"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172" fontId="56" fillId="0" borderId="0" applyNumberFormat="0" applyFill="0" applyBorder="0" applyAlignment="0" applyProtection="0">
      <alignment vertical="top"/>
      <protection locked="0"/>
    </xf>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 fillId="0" borderId="0"/>
    <xf numFmtId="0" fontId="55" fillId="0" borderId="0"/>
    <xf numFmtId="0" fontId="3" fillId="0" borderId="0"/>
    <xf numFmtId="0" fontId="3" fillId="0" borderId="0"/>
    <xf numFmtId="0" fontId="55" fillId="0" borderId="0"/>
    <xf numFmtId="0" fontId="3" fillId="0" borderId="0"/>
    <xf numFmtId="172" fontId="3" fillId="0" borderId="0"/>
    <xf numFmtId="172" fontId="3" fillId="0" borderId="0"/>
    <xf numFmtId="0" fontId="53" fillId="0" borderId="0"/>
    <xf numFmtId="172" fontId="3" fillId="0" borderId="0"/>
    <xf numFmtId="0" fontId="3" fillId="0" borderId="0"/>
    <xf numFmtId="0" fontId="3" fillId="0" borderId="0"/>
    <xf numFmtId="172" fontId="3" fillId="0" borderId="0"/>
    <xf numFmtId="172" fontId="3" fillId="0" borderId="0"/>
    <xf numFmtId="0" fontId="3" fillId="0" borderId="0"/>
    <xf numFmtId="0" fontId="3" fillId="0" borderId="0"/>
    <xf numFmtId="0" fontId="3" fillId="0" borderId="0"/>
    <xf numFmtId="0" fontId="57" fillId="0" borderId="0"/>
    <xf numFmtId="172" fontId="3" fillId="0" borderId="0"/>
    <xf numFmtId="0" fontId="57" fillId="0" borderId="0"/>
    <xf numFmtId="0" fontId="57" fillId="0" borderId="0"/>
    <xf numFmtId="0" fontId="57" fillId="0" borderId="0"/>
    <xf numFmtId="172" fontId="57" fillId="0" borderId="0"/>
    <xf numFmtId="172" fontId="3" fillId="0" borderId="0"/>
    <xf numFmtId="0" fontId="58" fillId="0" borderId="0"/>
    <xf numFmtId="0" fontId="58" fillId="0" borderId="0"/>
    <xf numFmtId="0" fontId="58" fillId="0" borderId="0"/>
    <xf numFmtId="172" fontId="3" fillId="0" borderId="0"/>
    <xf numFmtId="172" fontId="3" fillId="0" borderId="0"/>
    <xf numFmtId="0" fontId="58" fillId="0" borderId="0"/>
    <xf numFmtId="0" fontId="58" fillId="0" borderId="0"/>
    <xf numFmtId="172" fontId="3" fillId="0" borderId="0"/>
    <xf numFmtId="172" fontId="3" fillId="0" borderId="0"/>
    <xf numFmtId="0" fontId="58" fillId="0" borderId="0"/>
    <xf numFmtId="172" fontId="3" fillId="0" borderId="0"/>
    <xf numFmtId="0" fontId="58" fillId="0" borderId="0"/>
    <xf numFmtId="0" fontId="3" fillId="0" borderId="0"/>
    <xf numFmtId="172" fontId="3" fillId="0" borderId="0"/>
    <xf numFmtId="172" fontId="54" fillId="0" borderId="0"/>
    <xf numFmtId="172" fontId="3" fillId="0" borderId="0"/>
    <xf numFmtId="0" fontId="3" fillId="0" borderId="0"/>
    <xf numFmtId="172" fontId="3" fillId="0" borderId="0"/>
    <xf numFmtId="0" fontId="3" fillId="0" borderId="0"/>
    <xf numFmtId="172" fontId="54" fillId="0" borderId="0"/>
    <xf numFmtId="172" fontId="3" fillId="0" borderId="0"/>
    <xf numFmtId="0" fontId="26" fillId="0" borderId="0"/>
    <xf numFmtId="0" fontId="26" fillId="23" borderId="7" applyNumberFormat="0" applyFont="0" applyAlignment="0" applyProtection="0"/>
    <xf numFmtId="172" fontId="2"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 fillId="23" borderId="7" applyNumberFormat="0" applyFont="0" applyAlignment="0" applyProtection="0"/>
    <xf numFmtId="172" fontId="26" fillId="23" borderId="7" applyNumberFormat="0" applyFont="0" applyAlignment="0" applyProtection="0"/>
    <xf numFmtId="172" fontId="2" fillId="23" borderId="7" applyNumberFormat="0" applyFont="0" applyAlignment="0" applyProtection="0"/>
    <xf numFmtId="0" fontId="2" fillId="23" borderId="7" applyNumberFormat="0" applyFont="0" applyAlignment="0" applyProtection="0"/>
    <xf numFmtId="172" fontId="2" fillId="23" borderId="7" applyNumberFormat="0" applyFont="0" applyAlignment="0" applyProtection="0"/>
    <xf numFmtId="0" fontId="2" fillId="23" borderId="7" applyNumberFormat="0" applyFont="0" applyAlignment="0" applyProtection="0"/>
    <xf numFmtId="172" fontId="2" fillId="23" borderId="7" applyNumberFormat="0" applyFont="0" applyAlignment="0" applyProtection="0"/>
    <xf numFmtId="0" fontId="2" fillId="23" borderId="7" applyNumberFormat="0" applyFont="0" applyAlignment="0" applyProtection="0"/>
    <xf numFmtId="172" fontId="26" fillId="23" borderId="7" applyNumberFormat="0" applyFont="0" applyAlignment="0" applyProtection="0"/>
    <xf numFmtId="172" fontId="2" fillId="23" borderId="7" applyNumberFormat="0" applyFont="0" applyAlignment="0" applyProtection="0"/>
    <xf numFmtId="172" fontId="2" fillId="23" borderId="7" applyNumberFormat="0" applyFont="0" applyAlignment="0" applyProtection="0"/>
    <xf numFmtId="0" fontId="2" fillId="23" borderId="7" applyNumberFormat="0" applyFont="0" applyAlignment="0" applyProtection="0"/>
    <xf numFmtId="172"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2"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11">
    <xf numFmtId="0" fontId="0" fillId="0" borderId="0" xfId="0"/>
    <xf numFmtId="0" fontId="0" fillId="24" borderId="10" xfId="0" applyFill="1" applyBorder="1"/>
    <xf numFmtId="164" fontId="0" fillId="24" borderId="11" xfId="532" applyNumberFormat="1" applyFont="1" applyFill="1" applyBorder="1"/>
    <xf numFmtId="164" fontId="0" fillId="24" borderId="10" xfId="532" applyNumberFormat="1" applyFont="1" applyFill="1" applyBorder="1"/>
    <xf numFmtId="0" fontId="5" fillId="25" borderId="12" xfId="0" applyFont="1" applyFill="1" applyBorder="1"/>
    <xf numFmtId="0" fontId="5" fillId="25" borderId="13" xfId="0" applyFont="1" applyFill="1" applyBorder="1"/>
    <xf numFmtId="0" fontId="0" fillId="25" borderId="14" xfId="0" applyFill="1" applyBorder="1"/>
    <xf numFmtId="0" fontId="5" fillId="25" borderId="10" xfId="0" applyFont="1" applyFill="1" applyBorder="1" applyAlignment="1">
      <alignment horizontal="center"/>
    </xf>
    <xf numFmtId="0" fontId="5" fillId="25" borderId="12" xfId="0" applyFont="1" applyFill="1" applyBorder="1" applyAlignment="1">
      <alignment horizontal="center"/>
    </xf>
    <xf numFmtId="165" fontId="0" fillId="24" borderId="10" xfId="532" applyNumberFormat="1" applyFont="1" applyFill="1" applyBorder="1"/>
    <xf numFmtId="17" fontId="0" fillId="24" borderId="10" xfId="0" applyNumberFormat="1" applyFill="1" applyBorder="1"/>
    <xf numFmtId="166" fontId="0" fillId="24" borderId="10" xfId="532" applyNumberFormat="1" applyFont="1" applyFill="1" applyBorder="1"/>
    <xf numFmtId="0" fontId="0" fillId="24" borderId="12" xfId="0" applyFill="1" applyBorder="1"/>
    <xf numFmtId="0" fontId="0" fillId="24" borderId="13" xfId="0" applyFill="1" applyBorder="1"/>
    <xf numFmtId="0" fontId="0" fillId="24" borderId="14" xfId="0" applyFill="1" applyBorder="1"/>
    <xf numFmtId="165" fontId="0" fillId="24" borderId="11" xfId="532" applyNumberFormat="1" applyFont="1" applyFill="1" applyBorder="1"/>
    <xf numFmtId="165" fontId="0" fillId="24" borderId="15" xfId="532" applyNumberFormat="1" applyFont="1" applyFill="1" applyBorder="1"/>
    <xf numFmtId="165" fontId="0" fillId="24" borderId="16" xfId="532" applyNumberFormat="1" applyFont="1" applyFill="1" applyBorder="1"/>
    <xf numFmtId="0" fontId="0" fillId="24" borderId="17" xfId="0" applyFill="1" applyBorder="1"/>
    <xf numFmtId="0" fontId="0" fillId="24" borderId="18" xfId="0" applyFill="1" applyBorder="1"/>
    <xf numFmtId="0" fontId="0" fillId="24" borderId="19" xfId="0" applyFill="1" applyBorder="1"/>
    <xf numFmtId="0" fontId="5" fillId="25" borderId="11" xfId="0" applyFont="1" applyFill="1" applyBorder="1" applyAlignment="1">
      <alignment horizontal="center"/>
    </xf>
    <xf numFmtId="0" fontId="18" fillId="24" borderId="20" xfId="0" applyFont="1" applyFill="1" applyBorder="1" applyAlignment="1">
      <alignment vertical="center"/>
    </xf>
    <xf numFmtId="0" fontId="18" fillId="24" borderId="21" xfId="0" applyFont="1" applyFill="1" applyBorder="1" applyAlignment="1">
      <alignment vertical="center"/>
    </xf>
    <xf numFmtId="0" fontId="18" fillId="24" borderId="17" xfId="0" applyFont="1" applyFill="1" applyBorder="1" applyAlignment="1">
      <alignment vertical="center"/>
    </xf>
    <xf numFmtId="0" fontId="18" fillId="24" borderId="12" xfId="0" applyFont="1" applyFill="1" applyBorder="1" applyAlignment="1">
      <alignment vertical="center"/>
    </xf>
    <xf numFmtId="0" fontId="18" fillId="24" borderId="13" xfId="0" applyFont="1" applyFill="1" applyBorder="1" applyAlignment="1">
      <alignment vertical="center"/>
    </xf>
    <xf numFmtId="0" fontId="18" fillId="24" borderId="14" xfId="0" applyFont="1" applyFill="1" applyBorder="1" applyAlignment="1">
      <alignment vertical="center"/>
    </xf>
    <xf numFmtId="0" fontId="18" fillId="24" borderId="22" xfId="0" applyFont="1" applyFill="1" applyBorder="1" applyAlignment="1">
      <alignment vertical="center"/>
    </xf>
    <xf numFmtId="0" fontId="18" fillId="24" borderId="23" xfId="0" applyFont="1" applyFill="1" applyBorder="1" applyAlignment="1">
      <alignment vertical="center"/>
    </xf>
    <xf numFmtId="0" fontId="18" fillId="24" borderId="19" xfId="0" applyFont="1" applyFill="1" applyBorder="1" applyAlignment="1">
      <alignment vertical="center"/>
    </xf>
    <xf numFmtId="0" fontId="20" fillId="25" borderId="10" xfId="0" applyFont="1" applyFill="1" applyBorder="1" applyAlignment="1">
      <alignment horizontal="center" vertical="center"/>
    </xf>
    <xf numFmtId="0" fontId="20" fillId="25" borderId="10" xfId="0" applyFont="1" applyFill="1" applyBorder="1" applyAlignment="1">
      <alignment horizontal="center" vertical="center" wrapText="1"/>
    </xf>
    <xf numFmtId="0" fontId="18" fillId="24" borderId="17" xfId="0" applyFont="1" applyFill="1" applyBorder="1" applyAlignment="1">
      <alignment horizontal="center" vertical="center" wrapText="1"/>
    </xf>
    <xf numFmtId="0" fontId="18" fillId="24" borderId="24" xfId="0" applyFont="1" applyFill="1" applyBorder="1" applyAlignment="1">
      <alignment vertical="center"/>
    </xf>
    <xf numFmtId="0" fontId="18" fillId="24" borderId="0" xfId="0" applyFont="1" applyFill="1" applyAlignment="1">
      <alignment vertical="center"/>
    </xf>
    <xf numFmtId="0" fontId="18" fillId="24" borderId="0" xfId="0" applyFont="1" applyFill="1" applyAlignment="1">
      <alignment vertical="center" wrapText="1"/>
    </xf>
    <xf numFmtId="17" fontId="18" fillId="24" borderId="19" xfId="0" quotePrefix="1" applyNumberFormat="1" applyFont="1" applyFill="1" applyBorder="1" applyAlignment="1">
      <alignment horizontal="center" vertical="center" wrapText="1"/>
    </xf>
    <xf numFmtId="17" fontId="18" fillId="24" borderId="18" xfId="0" applyNumberFormat="1" applyFont="1" applyFill="1" applyBorder="1" applyAlignment="1">
      <alignment horizontal="center"/>
    </xf>
    <xf numFmtId="169" fontId="18" fillId="24" borderId="23" xfId="542" applyNumberFormat="1" applyFont="1" applyFill="1" applyBorder="1" applyAlignment="1">
      <alignment horizontal="right"/>
    </xf>
    <xf numFmtId="17" fontId="18" fillId="24" borderId="19" xfId="0" applyNumberFormat="1" applyFont="1" applyFill="1" applyBorder="1" applyAlignment="1">
      <alignment horizontal="center"/>
    </xf>
    <xf numFmtId="17" fontId="18" fillId="24" borderId="14" xfId="0" applyNumberFormat="1" applyFont="1" applyFill="1" applyBorder="1" applyAlignment="1">
      <alignment horizontal="center"/>
    </xf>
    <xf numFmtId="17" fontId="18" fillId="24" borderId="17" xfId="0" applyNumberFormat="1" applyFont="1" applyFill="1" applyBorder="1" applyAlignment="1">
      <alignment horizontal="center"/>
    </xf>
    <xf numFmtId="169" fontId="18" fillId="24" borderId="20" xfId="542" applyNumberFormat="1" applyFont="1" applyFill="1" applyBorder="1" applyAlignment="1">
      <alignment horizontal="right"/>
    </xf>
    <xf numFmtId="0" fontId="20" fillId="24" borderId="12" xfId="0" quotePrefix="1" applyFont="1" applyFill="1" applyBorder="1" applyAlignment="1">
      <alignment horizontal="left" vertical="center"/>
    </xf>
    <xf numFmtId="169" fontId="20" fillId="24" borderId="22" xfId="542" applyNumberFormat="1" applyFont="1" applyFill="1" applyBorder="1" applyAlignment="1">
      <alignment vertical="center"/>
    </xf>
    <xf numFmtId="169" fontId="18" fillId="24" borderId="24" xfId="542" applyNumberFormat="1" applyFont="1" applyFill="1" applyBorder="1" applyAlignment="1">
      <alignment horizontal="right"/>
    </xf>
    <xf numFmtId="169" fontId="18" fillId="24" borderId="12" xfId="542" applyNumberFormat="1" applyFont="1" applyFill="1" applyBorder="1" applyAlignment="1">
      <alignment horizontal="right"/>
    </xf>
    <xf numFmtId="0" fontId="23" fillId="24" borderId="20" xfId="0" applyFont="1" applyFill="1" applyBorder="1" applyAlignment="1">
      <alignment vertical="center"/>
    </xf>
    <xf numFmtId="169" fontId="18" fillId="24" borderId="22" xfId="542" applyNumberFormat="1" applyFont="1" applyFill="1" applyBorder="1" applyAlignment="1">
      <alignment horizontal="right" vertical="center"/>
    </xf>
    <xf numFmtId="0" fontId="0" fillId="26" borderId="10" xfId="0" applyFill="1" applyBorder="1" applyProtection="1">
      <protection locked="0"/>
    </xf>
    <xf numFmtId="0" fontId="5" fillId="25" borderId="16" xfId="0" applyFont="1" applyFill="1" applyBorder="1" applyAlignment="1">
      <alignment horizontal="center"/>
    </xf>
    <xf numFmtId="17" fontId="0" fillId="24" borderId="10" xfId="0" quotePrefix="1" applyNumberFormat="1" applyFill="1" applyBorder="1" applyAlignment="1">
      <alignment horizontal="right"/>
    </xf>
    <xf numFmtId="17" fontId="0" fillId="24" borderId="10" xfId="0" applyNumberFormat="1" applyFill="1" applyBorder="1" applyAlignment="1">
      <alignment horizontal="left"/>
    </xf>
    <xf numFmtId="17" fontId="0" fillId="24" borderId="10" xfId="0" applyNumberFormat="1" applyFill="1" applyBorder="1" applyAlignment="1">
      <alignment horizontal="right"/>
    </xf>
    <xf numFmtId="17" fontId="0" fillId="24" borderId="10" xfId="0" applyNumberFormat="1" applyFill="1" applyBorder="1" applyAlignment="1">
      <alignment horizontal="center"/>
    </xf>
    <xf numFmtId="164" fontId="5" fillId="24" borderId="10" xfId="532" applyNumberFormat="1" applyFont="1" applyFill="1" applyBorder="1"/>
    <xf numFmtId="167" fontId="0" fillId="24" borderId="10" xfId="0" quotePrefix="1" applyNumberFormat="1" applyFill="1" applyBorder="1" applyAlignment="1">
      <alignment horizontal="right"/>
    </xf>
    <xf numFmtId="0" fontId="0" fillId="26" borderId="12" xfId="0" applyFill="1" applyBorder="1" applyProtection="1">
      <protection locked="0"/>
    </xf>
    <xf numFmtId="0" fontId="5" fillId="24" borderId="10" xfId="0" applyFont="1" applyFill="1" applyBorder="1" applyAlignment="1">
      <alignment horizontal="center" vertical="center" wrapText="1"/>
    </xf>
    <xf numFmtId="0" fontId="5" fillId="24" borderId="10" xfId="0" quotePrefix="1" applyFont="1" applyFill="1" applyBorder="1" applyAlignment="1">
      <alignment horizontal="center" vertical="center" wrapText="1"/>
    </xf>
    <xf numFmtId="0" fontId="0" fillId="27" borderId="0" xfId="0" applyFill="1"/>
    <xf numFmtId="0" fontId="12" fillId="27" borderId="0" xfId="0" applyFont="1" applyFill="1"/>
    <xf numFmtId="0" fontId="13" fillId="27" borderId="0" xfId="0" applyFont="1" applyFill="1"/>
    <xf numFmtId="0" fontId="19" fillId="27" borderId="0" xfId="0" quotePrefix="1" applyFont="1" applyFill="1" applyAlignment="1">
      <alignment horizontal="left"/>
    </xf>
    <xf numFmtId="0" fontId="0" fillId="27" borderId="0" xfId="0" quotePrefix="1" applyFill="1" applyAlignment="1">
      <alignment horizontal="left"/>
    </xf>
    <xf numFmtId="0" fontId="6" fillId="27" borderId="0" xfId="0" applyFont="1" applyFill="1" applyAlignment="1">
      <alignment horizontal="left"/>
    </xf>
    <xf numFmtId="0" fontId="0" fillId="27" borderId="0" xfId="0" applyFill="1" applyAlignment="1">
      <alignment horizontal="left"/>
    </xf>
    <xf numFmtId="0" fontId="6" fillId="27" borderId="0" xfId="0" applyFont="1" applyFill="1"/>
    <xf numFmtId="0" fontId="8" fillId="27" borderId="0" xfId="0" quotePrefix="1" applyFont="1" applyFill="1" applyAlignment="1">
      <alignment horizontal="left"/>
    </xf>
    <xf numFmtId="0" fontId="18" fillId="27" borderId="0" xfId="0" applyFont="1" applyFill="1"/>
    <xf numFmtId="0" fontId="4" fillId="27" borderId="0" xfId="0" applyFont="1" applyFill="1"/>
    <xf numFmtId="0" fontId="20" fillId="27" borderId="0" xfId="0" applyFont="1" applyFill="1"/>
    <xf numFmtId="0" fontId="4" fillId="27" borderId="0" xfId="0" applyFont="1" applyFill="1" applyAlignment="1">
      <alignment horizontal="center"/>
    </xf>
    <xf numFmtId="0" fontId="4" fillId="27" borderId="0" xfId="0" applyFont="1" applyFill="1" applyAlignment="1">
      <alignment vertical="center" wrapText="1"/>
    </xf>
    <xf numFmtId="0" fontId="23" fillId="27" borderId="0" xfId="0" quotePrefix="1" applyFont="1" applyFill="1" applyAlignment="1">
      <alignment horizontal="left"/>
    </xf>
    <xf numFmtId="0" fontId="4" fillId="27" borderId="0" xfId="0" applyFont="1" applyFill="1" applyAlignment="1">
      <alignment horizontal="right" vertical="center" wrapText="1"/>
    </xf>
    <xf numFmtId="0" fontId="18" fillId="27" borderId="0" xfId="0" applyFont="1" applyFill="1" applyAlignment="1">
      <alignment vertical="center" wrapText="1"/>
    </xf>
    <xf numFmtId="0" fontId="21" fillId="27" borderId="0" xfId="0" applyFont="1" applyFill="1" applyAlignment="1">
      <alignment vertical="center" wrapText="1"/>
    </xf>
    <xf numFmtId="0" fontId="18" fillId="27" borderId="0" xfId="0" applyFont="1" applyFill="1" applyAlignment="1">
      <alignment horizontal="center" vertical="center" wrapText="1"/>
    </xf>
    <xf numFmtId="0" fontId="18" fillId="27" borderId="0" xfId="0" quotePrefix="1" applyFont="1" applyFill="1" applyAlignment="1">
      <alignment horizontal="center" vertical="center" wrapText="1"/>
    </xf>
    <xf numFmtId="0" fontId="4" fillId="27" borderId="0" xfId="0" applyFont="1" applyFill="1" applyAlignment="1">
      <alignment horizontal="right"/>
    </xf>
    <xf numFmtId="0" fontId="4" fillId="27" borderId="0" xfId="0" quotePrefix="1" applyFont="1" applyFill="1"/>
    <xf numFmtId="0" fontId="24" fillId="27" borderId="0" xfId="0" applyFont="1" applyFill="1"/>
    <xf numFmtId="165" fontId="17" fillId="27" borderId="0" xfId="532" applyNumberFormat="1" applyFont="1" applyFill="1" applyBorder="1" applyAlignment="1">
      <alignment horizontal="center"/>
    </xf>
    <xf numFmtId="17" fontId="17" fillId="27" borderId="0" xfId="0" applyNumberFormat="1" applyFont="1" applyFill="1" applyAlignment="1">
      <alignment horizontal="center"/>
    </xf>
    <xf numFmtId="165" fontId="4" fillId="27" borderId="0" xfId="532" applyNumberFormat="1" applyFont="1" applyFill="1" applyAlignment="1">
      <alignment horizontal="right"/>
    </xf>
    <xf numFmtId="0" fontId="8" fillId="27" borderId="15" xfId="0" applyFont="1" applyFill="1" applyBorder="1"/>
    <xf numFmtId="0" fontId="0" fillId="27" borderId="0" xfId="0" applyFill="1" applyAlignment="1">
      <alignment horizontal="center"/>
    </xf>
    <xf numFmtId="0" fontId="0" fillId="27" borderId="0" xfId="0" quotePrefix="1" applyFill="1" applyAlignment="1">
      <alignment horizontal="right"/>
    </xf>
    <xf numFmtId="0" fontId="5" fillId="27" borderId="0" xfId="0" applyFont="1" applyFill="1"/>
    <xf numFmtId="0" fontId="0" fillId="27" borderId="0" xfId="0" applyFill="1" applyProtection="1">
      <protection locked="0"/>
    </xf>
    <xf numFmtId="0" fontId="4" fillId="27" borderId="0" xfId="0" applyFont="1" applyFill="1" applyAlignment="1">
      <alignment horizontal="left"/>
    </xf>
    <xf numFmtId="0" fontId="0" fillId="27" borderId="17" xfId="0" applyFill="1" applyBorder="1"/>
    <xf numFmtId="165" fontId="0" fillId="27" borderId="15" xfId="532" applyNumberFormat="1" applyFont="1" applyFill="1" applyBorder="1"/>
    <xf numFmtId="0" fontId="0" fillId="27" borderId="18" xfId="0" applyFill="1" applyBorder="1"/>
    <xf numFmtId="0" fontId="5" fillId="27" borderId="0" xfId="0" applyFont="1" applyFill="1" applyAlignment="1">
      <alignment horizontal="right"/>
    </xf>
    <xf numFmtId="164" fontId="5" fillId="27" borderId="0" xfId="532" applyNumberFormat="1" applyFont="1" applyFill="1"/>
    <xf numFmtId="0" fontId="11" fillId="27" borderId="0" xfId="0" applyFont="1" applyFill="1"/>
    <xf numFmtId="164" fontId="3" fillId="27" borderId="0" xfId="532" applyNumberFormat="1" applyFont="1" applyFill="1"/>
    <xf numFmtId="165" fontId="0" fillId="27" borderId="16" xfId="532" applyNumberFormat="1" applyFont="1" applyFill="1" applyBorder="1"/>
    <xf numFmtId="0" fontId="0" fillId="27" borderId="19" xfId="0" applyFill="1" applyBorder="1"/>
    <xf numFmtId="0" fontId="15" fillId="27" borderId="0" xfId="0" applyFont="1" applyFill="1" applyAlignment="1">
      <alignment horizontal="right"/>
    </xf>
    <xf numFmtId="169" fontId="11" fillId="27" borderId="0" xfId="542" applyNumberFormat="1" applyFont="1" applyFill="1"/>
    <xf numFmtId="0" fontId="0" fillId="27" borderId="0" xfId="0" quotePrefix="1" applyFill="1"/>
    <xf numFmtId="165" fontId="0" fillId="27" borderId="0" xfId="0" applyNumberFormat="1" applyFill="1"/>
    <xf numFmtId="169" fontId="16" fillId="27" borderId="0" xfId="542" applyNumberFormat="1" applyFont="1" applyFill="1"/>
    <xf numFmtId="169" fontId="0" fillId="27" borderId="0" xfId="0" applyNumberFormat="1" applyFill="1"/>
    <xf numFmtId="17" fontId="0" fillId="27" borderId="0" xfId="0" applyNumberFormat="1" applyFill="1" applyAlignment="1">
      <alignment horizontal="left"/>
    </xf>
    <xf numFmtId="164" fontId="0" fillId="27" borderId="0" xfId="532" applyNumberFormat="1" applyFont="1" applyFill="1"/>
    <xf numFmtId="165" fontId="3" fillId="27" borderId="0" xfId="532" applyNumberFormat="1" applyFont="1" applyFill="1"/>
    <xf numFmtId="0" fontId="0" fillId="27" borderId="0" xfId="0" applyFill="1" applyAlignment="1">
      <alignment horizontal="right"/>
    </xf>
    <xf numFmtId="0" fontId="7" fillId="27" borderId="0" xfId="0" applyFont="1" applyFill="1"/>
    <xf numFmtId="0" fontId="0" fillId="27" borderId="20" xfId="0" applyFill="1" applyBorder="1"/>
    <xf numFmtId="0" fontId="0" fillId="27" borderId="21" xfId="0" applyFill="1" applyBorder="1"/>
    <xf numFmtId="0" fontId="0" fillId="27" borderId="24" xfId="0" applyFill="1" applyBorder="1"/>
    <xf numFmtId="0" fontId="0" fillId="27" borderId="22" xfId="0" applyFill="1" applyBorder="1"/>
    <xf numFmtId="0" fontId="0" fillId="27" borderId="23" xfId="0" applyFill="1" applyBorder="1"/>
    <xf numFmtId="0" fontId="5" fillId="27" borderId="11" xfId="0" applyFont="1" applyFill="1" applyBorder="1" applyAlignment="1">
      <alignment horizontal="center" vertical="center"/>
    </xf>
    <xf numFmtId="0" fontId="0" fillId="27" borderId="20" xfId="0" applyFill="1" applyBorder="1" applyAlignment="1">
      <alignment horizontal="center"/>
    </xf>
    <xf numFmtId="165" fontId="0" fillId="27" borderId="11" xfId="532" applyNumberFormat="1" applyFont="1" applyFill="1" applyBorder="1" applyAlignment="1">
      <alignment horizontal="center"/>
    </xf>
    <xf numFmtId="0" fontId="0" fillId="27" borderId="24" xfId="0" applyFill="1" applyBorder="1" applyAlignment="1">
      <alignment horizontal="left"/>
    </xf>
    <xf numFmtId="165" fontId="0" fillId="27" borderId="15" xfId="532" applyNumberFormat="1" applyFont="1" applyFill="1" applyBorder="1" applyAlignment="1">
      <alignment horizontal="center"/>
    </xf>
    <xf numFmtId="0" fontId="0" fillId="27" borderId="22" xfId="0" applyFill="1" applyBorder="1" applyAlignment="1">
      <alignment horizontal="left"/>
    </xf>
    <xf numFmtId="165" fontId="0" fillId="27" borderId="16" xfId="532" applyNumberFormat="1" applyFont="1" applyFill="1" applyBorder="1" applyAlignment="1">
      <alignment horizontal="center"/>
    </xf>
    <xf numFmtId="0" fontId="0" fillId="27" borderId="0" xfId="0" applyFill="1" applyAlignment="1">
      <alignment vertical="center" wrapText="1"/>
    </xf>
    <xf numFmtId="0" fontId="11" fillId="27" borderId="24" xfId="0" applyFont="1" applyFill="1" applyBorder="1" applyAlignment="1">
      <alignment horizontal="left"/>
    </xf>
    <xf numFmtId="0" fontId="11" fillId="27" borderId="15" xfId="0" applyFont="1" applyFill="1" applyBorder="1" applyAlignment="1">
      <alignment horizontal="center"/>
    </xf>
    <xf numFmtId="0" fontId="0" fillId="27" borderId="11" xfId="0" applyFill="1" applyBorder="1"/>
    <xf numFmtId="0" fontId="0" fillId="27" borderId="11" xfId="0" applyFill="1" applyBorder="1" applyAlignment="1">
      <alignment horizontal="center"/>
    </xf>
    <xf numFmtId="0" fontId="0" fillId="27" borderId="17" xfId="0" applyFill="1" applyBorder="1" applyAlignment="1">
      <alignment horizontal="center"/>
    </xf>
    <xf numFmtId="0" fontId="11" fillId="27" borderId="20" xfId="0" applyFont="1" applyFill="1" applyBorder="1" applyAlignment="1">
      <alignment horizontal="left"/>
    </xf>
    <xf numFmtId="0" fontId="0" fillId="27" borderId="16" xfId="0" applyFill="1" applyBorder="1"/>
    <xf numFmtId="0" fontId="0" fillId="27" borderId="15" xfId="0" applyFill="1" applyBorder="1" applyAlignment="1">
      <alignment horizontal="center"/>
    </xf>
    <xf numFmtId="0" fontId="11" fillId="27" borderId="0" xfId="0" applyFont="1" applyFill="1" applyAlignment="1">
      <alignment horizontal="left"/>
    </xf>
    <xf numFmtId="0" fontId="11" fillId="27" borderId="24" xfId="0" applyFont="1" applyFill="1" applyBorder="1" applyAlignment="1">
      <alignment horizontal="center"/>
    </xf>
    <xf numFmtId="0" fontId="0" fillId="27" borderId="16" xfId="0" applyFill="1" applyBorder="1" applyAlignment="1">
      <alignment horizontal="center"/>
    </xf>
    <xf numFmtId="0" fontId="11" fillId="27" borderId="22" xfId="0" applyFont="1" applyFill="1" applyBorder="1" applyAlignment="1">
      <alignment horizontal="left"/>
    </xf>
    <xf numFmtId="0" fontId="11" fillId="27" borderId="23" xfId="0" applyFont="1" applyFill="1" applyBorder="1" applyAlignment="1">
      <alignment horizontal="left"/>
    </xf>
    <xf numFmtId="0" fontId="11" fillId="27" borderId="22" xfId="0" applyFont="1" applyFill="1" applyBorder="1" applyAlignment="1">
      <alignment horizontal="center"/>
    </xf>
    <xf numFmtId="0" fontId="11" fillId="27" borderId="16" xfId="0" applyFont="1" applyFill="1" applyBorder="1" applyAlignment="1">
      <alignment horizontal="center"/>
    </xf>
    <xf numFmtId="0" fontId="8" fillId="27" borderId="0" xfId="0" applyFont="1" applyFill="1"/>
    <xf numFmtId="0" fontId="14" fillId="27" borderId="0" xfId="0" quotePrefix="1" applyFont="1" applyFill="1" applyAlignment="1">
      <alignment horizontal="right"/>
    </xf>
    <xf numFmtId="169" fontId="0" fillId="27" borderId="0" xfId="542" applyNumberFormat="1" applyFont="1" applyFill="1"/>
    <xf numFmtId="17" fontId="11" fillId="27" borderId="0" xfId="0" applyNumberFormat="1" applyFont="1" applyFill="1" applyAlignment="1">
      <alignment horizontal="left"/>
    </xf>
    <xf numFmtId="0" fontId="14" fillId="27" borderId="0" xfId="0" applyFont="1" applyFill="1" applyAlignment="1">
      <alignment horizontal="right"/>
    </xf>
    <xf numFmtId="169" fontId="0" fillId="27" borderId="0" xfId="542" applyNumberFormat="1" applyFont="1" applyFill="1" applyBorder="1"/>
    <xf numFmtId="164" fontId="3" fillId="27" borderId="0" xfId="532" applyNumberFormat="1" applyFont="1" applyFill="1" applyBorder="1"/>
    <xf numFmtId="17" fontId="0" fillId="27" borderId="0" xfId="0" applyNumberFormat="1" applyFill="1"/>
    <xf numFmtId="0" fontId="4" fillId="27" borderId="0" xfId="0" quotePrefix="1" applyFont="1" applyFill="1" applyAlignment="1">
      <alignment horizontal="left"/>
    </xf>
    <xf numFmtId="170" fontId="5" fillId="27" borderId="0" xfId="532" applyNumberFormat="1" applyFont="1" applyFill="1"/>
    <xf numFmtId="169" fontId="5" fillId="27" borderId="0" xfId="542" applyNumberFormat="1" applyFont="1" applyFill="1"/>
    <xf numFmtId="164" fontId="9" fillId="27" borderId="0" xfId="532" applyNumberFormat="1" applyFont="1" applyFill="1"/>
    <xf numFmtId="166" fontId="6" fillId="27" borderId="0" xfId="532" applyNumberFormat="1" applyFont="1" applyFill="1"/>
    <xf numFmtId="43" fontId="10" fillId="27" borderId="0" xfId="0" applyNumberFormat="1" applyFont="1" applyFill="1"/>
    <xf numFmtId="0" fontId="0" fillId="27" borderId="15" xfId="0" applyFill="1" applyBorder="1"/>
    <xf numFmtId="0" fontId="0" fillId="27" borderId="18" xfId="0" applyFill="1" applyBorder="1" applyAlignment="1">
      <alignment horizontal="center"/>
    </xf>
    <xf numFmtId="0" fontId="0" fillId="27" borderId="19" xfId="0" applyFill="1" applyBorder="1" applyAlignment="1">
      <alignment horizontal="center"/>
    </xf>
    <xf numFmtId="17" fontId="0" fillId="24" borderId="10" xfId="0" quotePrefix="1" applyNumberFormat="1" applyFill="1" applyBorder="1" applyAlignment="1">
      <alignment horizontal="center"/>
    </xf>
    <xf numFmtId="165" fontId="0" fillId="24" borderId="10" xfId="532" applyNumberFormat="1" applyFont="1" applyFill="1" applyBorder="1" applyAlignment="1">
      <alignment horizontal="center"/>
    </xf>
    <xf numFmtId="165" fontId="18" fillId="24" borderId="17" xfId="532" quotePrefix="1" applyNumberFormat="1" applyFont="1" applyFill="1" applyBorder="1" applyAlignment="1">
      <alignment horizontal="center" vertical="center" wrapText="1"/>
    </xf>
    <xf numFmtId="165" fontId="18" fillId="24" borderId="18" xfId="532" applyNumberFormat="1" applyFont="1" applyFill="1" applyBorder="1" applyAlignment="1">
      <alignment horizontal="center"/>
    </xf>
    <xf numFmtId="165" fontId="18" fillId="24" borderId="19" xfId="532" applyNumberFormat="1" applyFont="1" applyFill="1" applyBorder="1" applyAlignment="1">
      <alignment horizontal="center" vertical="center" wrapText="1"/>
    </xf>
    <xf numFmtId="165" fontId="18" fillId="24" borderId="10" xfId="532" applyNumberFormat="1" applyFont="1" applyFill="1" applyBorder="1" applyAlignment="1">
      <alignment horizontal="center"/>
    </xf>
    <xf numFmtId="165" fontId="18" fillId="24" borderId="17" xfId="532" applyNumberFormat="1" applyFont="1" applyFill="1" applyBorder="1" applyAlignment="1">
      <alignment horizontal="center"/>
    </xf>
    <xf numFmtId="165" fontId="18" fillId="24" borderId="11" xfId="532" applyNumberFormat="1" applyFont="1" applyFill="1" applyBorder="1" applyAlignment="1">
      <alignment horizontal="center"/>
    </xf>
    <xf numFmtId="0" fontId="0" fillId="27" borderId="24" xfId="0" quotePrefix="1" applyFill="1" applyBorder="1" applyAlignment="1">
      <alignment horizontal="left"/>
    </xf>
    <xf numFmtId="165" fontId="0" fillId="27" borderId="15" xfId="532" quotePrefix="1" applyNumberFormat="1" applyFont="1" applyFill="1" applyBorder="1" applyAlignment="1">
      <alignment horizontal="center"/>
    </xf>
    <xf numFmtId="17" fontId="0" fillId="24" borderId="10" xfId="0" quotePrefix="1" applyNumberFormat="1" applyFill="1" applyBorder="1" applyAlignment="1">
      <alignment horizontal="left"/>
    </xf>
    <xf numFmtId="167" fontId="0" fillId="24" borderId="10" xfId="0" quotePrefix="1" applyNumberFormat="1" applyFill="1" applyBorder="1" applyAlignment="1">
      <alignment horizontal="center"/>
    </xf>
    <xf numFmtId="167" fontId="0" fillId="24" borderId="10" xfId="0" applyNumberFormat="1" applyFill="1" applyBorder="1" applyAlignment="1">
      <alignment horizontal="center"/>
    </xf>
    <xf numFmtId="0" fontId="5" fillId="25" borderId="16" xfId="0" quotePrefix="1" applyFont="1" applyFill="1" applyBorder="1" applyAlignment="1">
      <alignment horizontal="center"/>
    </xf>
    <xf numFmtId="0" fontId="5" fillId="25" borderId="10" xfId="0" quotePrefix="1" applyFont="1" applyFill="1" applyBorder="1" applyAlignment="1">
      <alignment horizontal="center"/>
    </xf>
    <xf numFmtId="0" fontId="5" fillId="25" borderId="17" xfId="0" applyFont="1" applyFill="1" applyBorder="1" applyAlignment="1">
      <alignment vertical="center"/>
    </xf>
    <xf numFmtId="0" fontId="5" fillId="25" borderId="19" xfId="0" applyFont="1" applyFill="1" applyBorder="1" applyAlignment="1">
      <alignment horizontal="center"/>
    </xf>
    <xf numFmtId="0" fontId="5" fillId="25" borderId="24" xfId="0" applyFont="1" applyFill="1" applyBorder="1" applyAlignment="1">
      <alignment horizontal="center"/>
    </xf>
    <xf numFmtId="0" fontId="5" fillId="27" borderId="20" xfId="0" applyFont="1" applyFill="1" applyBorder="1" applyAlignment="1">
      <alignment horizontal="center" vertical="center"/>
    </xf>
    <xf numFmtId="0" fontId="5" fillId="27" borderId="21" xfId="0" applyFont="1" applyFill="1" applyBorder="1" applyAlignment="1">
      <alignment horizontal="center" vertical="center"/>
    </xf>
    <xf numFmtId="0" fontId="0" fillId="27" borderId="24" xfId="0" applyFill="1" applyBorder="1" applyAlignment="1">
      <alignment horizontal="center"/>
    </xf>
    <xf numFmtId="0" fontId="0" fillId="26" borderId="14" xfId="0" applyFill="1" applyBorder="1" applyProtection="1">
      <protection locked="0"/>
    </xf>
    <xf numFmtId="0" fontId="5" fillId="25" borderId="12" xfId="0" quotePrefix="1" applyFont="1" applyFill="1" applyBorder="1" applyAlignment="1">
      <alignment horizontal="center"/>
    </xf>
    <xf numFmtId="0" fontId="5" fillId="27" borderId="20" xfId="0" applyFont="1" applyFill="1" applyBorder="1" applyAlignment="1">
      <alignment vertical="center"/>
    </xf>
    <xf numFmtId="0" fontId="5" fillId="27" borderId="21" xfId="0" applyFont="1" applyFill="1" applyBorder="1" applyAlignment="1">
      <alignment vertical="center"/>
    </xf>
    <xf numFmtId="0" fontId="5" fillId="27" borderId="17" xfId="0" applyFont="1" applyFill="1" applyBorder="1" applyAlignment="1">
      <alignment vertical="center"/>
    </xf>
    <xf numFmtId="0" fontId="5" fillId="27" borderId="0" xfId="0" applyFont="1" applyFill="1" applyAlignment="1">
      <alignment vertical="center"/>
    </xf>
    <xf numFmtId="0" fontId="5" fillId="27" borderId="18" xfId="0" applyFont="1" applyFill="1" applyBorder="1" applyAlignment="1">
      <alignment vertical="center"/>
    </xf>
    <xf numFmtId="0" fontId="5" fillId="24" borderId="11" xfId="0" quotePrefix="1" applyFont="1" applyFill="1" applyBorder="1" applyAlignment="1">
      <alignment horizontal="center" vertical="center"/>
    </xf>
    <xf numFmtId="0" fontId="0" fillId="24" borderId="11" xfId="0" applyFill="1" applyBorder="1"/>
    <xf numFmtId="0" fontId="0" fillId="24" borderId="20" xfId="0" applyFill="1" applyBorder="1"/>
    <xf numFmtId="0" fontId="0" fillId="24" borderId="16" xfId="0" applyFill="1" applyBorder="1"/>
    <xf numFmtId="0" fontId="0" fillId="24" borderId="22" xfId="0" applyFill="1" applyBorder="1"/>
    <xf numFmtId="0" fontId="5" fillId="24" borderId="12" xfId="0" applyFont="1" applyFill="1" applyBorder="1" applyAlignment="1">
      <alignment horizontal="center"/>
    </xf>
    <xf numFmtId="0" fontId="5" fillId="24" borderId="20"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12" xfId="0" applyFont="1" applyFill="1" applyBorder="1" applyAlignment="1">
      <alignment horizontal="left"/>
    </xf>
    <xf numFmtId="169" fontId="11" fillId="27" borderId="0" xfId="542" applyNumberFormat="1" applyFont="1" applyFill="1" applyBorder="1"/>
    <xf numFmtId="0" fontId="0" fillId="27" borderId="22" xfId="0" quotePrefix="1" applyFill="1" applyBorder="1" applyAlignment="1">
      <alignment horizontal="left"/>
    </xf>
    <xf numFmtId="164" fontId="0" fillId="26" borderId="14" xfId="532" applyNumberFormat="1" applyFont="1" applyFill="1" applyBorder="1" applyProtection="1">
      <protection locked="0"/>
    </xf>
    <xf numFmtId="164" fontId="0" fillId="24" borderId="10" xfId="532" applyNumberFormat="1" applyFont="1" applyFill="1" applyBorder="1" applyAlignment="1">
      <alignment horizontal="center"/>
    </xf>
    <xf numFmtId="166" fontId="0" fillId="24" borderId="10" xfId="532" applyNumberFormat="1" applyFont="1" applyFill="1" applyBorder="1" applyAlignment="1"/>
    <xf numFmtId="0" fontId="5" fillId="24" borderId="10" xfId="0" applyFont="1" applyFill="1" applyBorder="1" applyAlignment="1">
      <alignment horizontal="center"/>
    </xf>
    <xf numFmtId="0" fontId="5" fillId="24" borderId="10" xfId="0" quotePrefix="1" applyFont="1" applyFill="1" applyBorder="1" applyAlignment="1">
      <alignment horizontal="center"/>
    </xf>
    <xf numFmtId="169" fontId="18" fillId="24" borderId="21" xfId="542" applyNumberFormat="1" applyFont="1" applyFill="1" applyBorder="1" applyAlignment="1">
      <alignment horizontal="right"/>
    </xf>
    <xf numFmtId="169" fontId="9" fillId="27" borderId="0" xfId="542" applyNumberFormat="1" applyFont="1" applyFill="1"/>
    <xf numFmtId="0" fontId="18" fillId="24" borderId="24" xfId="0" applyFont="1" applyFill="1" applyBorder="1" applyAlignment="1">
      <alignment horizontal="left" vertical="center" wrapText="1"/>
    </xf>
    <xf numFmtId="0" fontId="18" fillId="24" borderId="0" xfId="0" applyFont="1" applyFill="1" applyAlignment="1">
      <alignment horizontal="left" vertical="center" wrapText="1"/>
    </xf>
    <xf numFmtId="0" fontId="18" fillId="24" borderId="22" xfId="0" applyFont="1" applyFill="1" applyBorder="1" applyAlignment="1">
      <alignment horizontal="left" vertical="center" wrapText="1"/>
    </xf>
    <xf numFmtId="0" fontId="18" fillId="24" borderId="23" xfId="0" applyFont="1" applyFill="1" applyBorder="1" applyAlignment="1">
      <alignment horizontal="left" vertical="center" wrapText="1"/>
    </xf>
    <xf numFmtId="169" fontId="18" fillId="24" borderId="22" xfId="542" applyNumberFormat="1" applyFont="1" applyFill="1" applyBorder="1" applyAlignment="1">
      <alignment horizontal="right"/>
    </xf>
    <xf numFmtId="0" fontId="0" fillId="27" borderId="15" xfId="0" quotePrefix="1" applyFill="1" applyBorder="1" applyAlignment="1">
      <alignment horizontal="center"/>
    </xf>
    <xf numFmtId="0" fontId="5" fillId="24" borderId="20" xfId="0" applyFont="1" applyFill="1" applyBorder="1" applyAlignment="1">
      <alignment horizontal="center" vertical="center" wrapText="1"/>
    </xf>
    <xf numFmtId="17" fontId="5" fillId="24" borderId="17" xfId="0" applyNumberFormat="1" applyFont="1" applyFill="1" applyBorder="1" applyAlignment="1">
      <alignment vertical="center"/>
    </xf>
    <xf numFmtId="0" fontId="5" fillId="24" borderId="10" xfId="0" applyFont="1" applyFill="1" applyBorder="1" applyAlignment="1">
      <alignment vertical="center"/>
    </xf>
    <xf numFmtId="0" fontId="5" fillId="24" borderId="13" xfId="0" applyFont="1" applyFill="1" applyBorder="1" applyAlignment="1">
      <alignment horizontal="center" vertical="center"/>
    </xf>
    <xf numFmtId="0" fontId="5" fillId="24" borderId="11" xfId="0" applyFont="1" applyFill="1" applyBorder="1" applyAlignment="1">
      <alignment horizontal="center" vertical="center" wrapText="1"/>
    </xf>
    <xf numFmtId="0" fontId="0" fillId="27" borderId="0" xfId="0" quotePrefix="1" applyFill="1" applyAlignment="1">
      <alignment wrapText="1"/>
    </xf>
    <xf numFmtId="0" fontId="5" fillId="24" borderId="10" xfId="0" applyFont="1" applyFill="1" applyBorder="1" applyAlignment="1">
      <alignment horizontal="center" vertical="center"/>
    </xf>
    <xf numFmtId="0" fontId="0" fillId="0" borderId="10" xfId="0" applyBorder="1" applyProtection="1">
      <protection locked="0"/>
    </xf>
    <xf numFmtId="0" fontId="5" fillId="27" borderId="17" xfId="0" applyFont="1" applyFill="1" applyBorder="1" applyAlignment="1">
      <alignment horizontal="center" vertical="center"/>
    </xf>
    <xf numFmtId="0" fontId="0" fillId="0" borderId="20" xfId="0" applyBorder="1" applyProtection="1">
      <protection locked="0"/>
    </xf>
    <xf numFmtId="0" fontId="0" fillId="0" borderId="24" xfId="0" applyBorder="1" applyProtection="1">
      <protection locked="0"/>
    </xf>
    <xf numFmtId="0" fontId="0" fillId="0" borderId="22" xfId="0" applyBorder="1" applyProtection="1">
      <protection locked="0"/>
    </xf>
    <xf numFmtId="0" fontId="5" fillId="25" borderId="12" xfId="0" quotePrefix="1" applyFont="1" applyFill="1" applyBorder="1" applyAlignment="1">
      <alignment horizontal="left"/>
    </xf>
    <xf numFmtId="0" fontId="5" fillId="25" borderId="14" xfId="0" applyFont="1" applyFill="1" applyBorder="1"/>
    <xf numFmtId="0" fontId="0" fillId="25" borderId="12" xfId="0" applyFill="1" applyBorder="1"/>
    <xf numFmtId="0" fontId="0" fillId="25" borderId="10" xfId="0" applyFill="1" applyBorder="1"/>
    <xf numFmtId="0" fontId="0" fillId="24" borderId="21" xfId="0" applyFill="1" applyBorder="1"/>
    <xf numFmtId="0" fontId="0" fillId="24" borderId="24" xfId="0" applyFill="1" applyBorder="1"/>
    <xf numFmtId="0" fontId="0" fillId="24" borderId="0" xfId="0" applyFill="1"/>
    <xf numFmtId="0" fontId="0" fillId="24" borderId="23" xfId="0" applyFill="1" applyBorder="1"/>
    <xf numFmtId="0" fontId="0" fillId="24" borderId="20" xfId="0" applyFill="1" applyBorder="1" applyAlignment="1">
      <alignment horizontal="center"/>
    </xf>
    <xf numFmtId="165" fontId="0" fillId="24" borderId="17" xfId="532" applyNumberFormat="1" applyFont="1" applyFill="1" applyBorder="1" applyAlignment="1">
      <alignment horizontal="center"/>
    </xf>
    <xf numFmtId="0" fontId="0" fillId="24" borderId="24" xfId="0" applyFill="1" applyBorder="1" applyAlignment="1">
      <alignment horizontal="left"/>
    </xf>
    <xf numFmtId="165" fontId="0" fillId="24" borderId="18" xfId="532" applyNumberFormat="1" applyFont="1" applyFill="1" applyBorder="1" applyAlignment="1">
      <alignment horizontal="center"/>
    </xf>
    <xf numFmtId="0" fontId="0" fillId="24" borderId="22" xfId="0" applyFill="1" applyBorder="1" applyAlignment="1">
      <alignment horizontal="left"/>
    </xf>
    <xf numFmtId="165" fontId="0" fillId="24" borderId="19" xfId="532" applyNumberFormat="1" applyFont="1" applyFill="1" applyBorder="1" applyAlignment="1">
      <alignment horizontal="center"/>
    </xf>
    <xf numFmtId="0" fontId="0" fillId="24" borderId="11" xfId="0" applyFill="1" applyBorder="1" applyAlignment="1">
      <alignment horizontal="center"/>
    </xf>
    <xf numFmtId="0" fontId="0" fillId="24" borderId="24" xfId="0" quotePrefix="1" applyFill="1" applyBorder="1"/>
    <xf numFmtId="0" fontId="0" fillId="24" borderId="15" xfId="0" applyFill="1" applyBorder="1" applyAlignment="1">
      <alignment horizontal="center"/>
    </xf>
    <xf numFmtId="0" fontId="0" fillId="24" borderId="16" xfId="0" applyFill="1" applyBorder="1" applyAlignment="1">
      <alignment horizontal="center"/>
    </xf>
    <xf numFmtId="0" fontId="0" fillId="24" borderId="17" xfId="0" applyFill="1" applyBorder="1" applyAlignment="1">
      <alignment horizontal="center"/>
    </xf>
    <xf numFmtId="0" fontId="0" fillId="24" borderId="21" xfId="0" applyFill="1" applyBorder="1" applyAlignment="1">
      <alignment horizontal="center"/>
    </xf>
    <xf numFmtId="0" fontId="0" fillId="24" borderId="0" xfId="0" applyFill="1" applyAlignment="1">
      <alignment horizontal="center"/>
    </xf>
    <xf numFmtId="0" fontId="0" fillId="24" borderId="23" xfId="0" applyFill="1" applyBorder="1" applyAlignment="1">
      <alignment horizontal="center"/>
    </xf>
    <xf numFmtId="0" fontId="11" fillId="24" borderId="20" xfId="0" applyFont="1" applyFill="1" applyBorder="1" applyAlignment="1">
      <alignment horizontal="left"/>
    </xf>
    <xf numFmtId="0" fontId="11" fillId="24" borderId="21" xfId="0" applyFont="1" applyFill="1" applyBorder="1" applyAlignment="1">
      <alignment horizontal="left"/>
    </xf>
    <xf numFmtId="0" fontId="11" fillId="24" borderId="17" xfId="0" applyFont="1" applyFill="1" applyBorder="1" applyAlignment="1">
      <alignment horizontal="left"/>
    </xf>
    <xf numFmtId="0" fontId="11" fillId="24" borderId="20" xfId="0" applyFont="1" applyFill="1" applyBorder="1" applyAlignment="1">
      <alignment horizontal="center"/>
    </xf>
    <xf numFmtId="0" fontId="11" fillId="24" borderId="11" xfId="0" applyFont="1" applyFill="1" applyBorder="1" applyAlignment="1">
      <alignment horizontal="center"/>
    </xf>
    <xf numFmtId="0" fontId="11" fillId="24" borderId="24" xfId="0" applyFont="1" applyFill="1" applyBorder="1" applyAlignment="1">
      <alignment horizontal="left"/>
    </xf>
    <xf numFmtId="0" fontId="11" fillId="24" borderId="0" xfId="0" applyFont="1" applyFill="1" applyAlignment="1">
      <alignment horizontal="left"/>
    </xf>
    <xf numFmtId="0" fontId="11" fillId="24" borderId="18" xfId="0" applyFont="1" applyFill="1" applyBorder="1" applyAlignment="1">
      <alignment horizontal="left"/>
    </xf>
    <xf numFmtId="0" fontId="11" fillId="24" borderId="24" xfId="0" applyFont="1" applyFill="1" applyBorder="1" applyAlignment="1">
      <alignment horizontal="center"/>
    </xf>
    <xf numFmtId="0" fontId="11" fillId="24" borderId="15" xfId="0" applyFont="1" applyFill="1" applyBorder="1" applyAlignment="1">
      <alignment horizontal="center"/>
    </xf>
    <xf numFmtId="0" fontId="11" fillId="24" borderId="22" xfId="0" applyFont="1" applyFill="1" applyBorder="1" applyAlignment="1">
      <alignment horizontal="left"/>
    </xf>
    <xf numFmtId="0" fontId="11" fillId="24" borderId="23" xfId="0" applyFont="1" applyFill="1" applyBorder="1" applyAlignment="1">
      <alignment horizontal="left"/>
    </xf>
    <xf numFmtId="0" fontId="11" fillId="24" borderId="19" xfId="0" applyFont="1" applyFill="1" applyBorder="1" applyAlignment="1">
      <alignment horizontal="left"/>
    </xf>
    <xf numFmtId="0" fontId="11" fillId="24" borderId="22" xfId="0" applyFont="1" applyFill="1" applyBorder="1" applyAlignment="1">
      <alignment horizontal="center"/>
    </xf>
    <xf numFmtId="0" fontId="11" fillId="24" borderId="16" xfId="0" applyFont="1" applyFill="1" applyBorder="1" applyAlignment="1">
      <alignment horizontal="center"/>
    </xf>
    <xf numFmtId="0" fontId="11" fillId="24" borderId="15" xfId="0" applyFont="1" applyFill="1" applyBorder="1" applyAlignment="1">
      <alignment horizontal="left"/>
    </xf>
    <xf numFmtId="0" fontId="11" fillId="24" borderId="16" xfId="0" applyFont="1" applyFill="1" applyBorder="1" applyAlignment="1">
      <alignment horizontal="left"/>
    </xf>
    <xf numFmtId="0" fontId="5" fillId="25" borderId="15" xfId="0" applyFont="1" applyFill="1" applyBorder="1" applyAlignment="1">
      <alignment horizontal="center"/>
    </xf>
    <xf numFmtId="0" fontId="5" fillId="25" borderId="12" xfId="0" applyFont="1" applyFill="1" applyBorder="1" applyAlignment="1">
      <alignment horizontal="left"/>
    </xf>
    <xf numFmtId="0" fontId="5" fillId="25" borderId="13" xfId="0" applyFont="1" applyFill="1" applyBorder="1" applyAlignment="1">
      <alignment horizontal="left"/>
    </xf>
    <xf numFmtId="0" fontId="5" fillId="25" borderId="14" xfId="0" applyFont="1" applyFill="1" applyBorder="1" applyAlignment="1">
      <alignment horizontal="left"/>
    </xf>
    <xf numFmtId="0" fontId="5" fillId="25" borderId="10" xfId="0" applyFont="1" applyFill="1" applyBorder="1" applyAlignment="1">
      <alignment horizontal="left"/>
    </xf>
    <xf numFmtId="0" fontId="5" fillId="25" borderId="12" xfId="0" applyFont="1" applyFill="1" applyBorder="1" applyAlignment="1">
      <alignment horizontal="center" vertical="center"/>
    </xf>
    <xf numFmtId="0" fontId="5" fillId="25" borderId="10" xfId="0" applyFont="1" applyFill="1" applyBorder="1" applyAlignment="1">
      <alignment horizontal="center" vertical="center"/>
    </xf>
    <xf numFmtId="14" fontId="0" fillId="0" borderId="10" xfId="0" applyNumberFormat="1" applyBorder="1" applyAlignment="1">
      <alignment vertical="top"/>
    </xf>
    <xf numFmtId="0" fontId="0" fillId="0" borderId="10" xfId="0" applyBorder="1" applyAlignment="1">
      <alignment vertical="top"/>
    </xf>
    <xf numFmtId="0" fontId="25" fillId="27" borderId="0" xfId="0" applyFont="1" applyFill="1"/>
    <xf numFmtId="0" fontId="22" fillId="27" borderId="0" xfId="0" applyFont="1" applyFill="1"/>
    <xf numFmtId="0" fontId="18" fillId="27" borderId="0" xfId="0" applyFont="1" applyFill="1" applyAlignment="1">
      <alignment vertical="top"/>
    </xf>
    <xf numFmtId="0" fontId="0" fillId="0" borderId="10" xfId="0" applyBorder="1" applyAlignment="1">
      <alignment horizontal="right" vertical="top"/>
    </xf>
    <xf numFmtId="0" fontId="20"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23" fillId="24" borderId="21" xfId="0" applyFont="1" applyFill="1" applyBorder="1" applyAlignment="1">
      <alignment vertical="center"/>
    </xf>
    <xf numFmtId="169" fontId="18" fillId="24" borderId="0" xfId="542" applyNumberFormat="1" applyFont="1" applyFill="1" applyBorder="1" applyAlignment="1">
      <alignment horizontal="right"/>
    </xf>
    <xf numFmtId="169" fontId="18" fillId="24" borderId="23" xfId="542" applyNumberFormat="1" applyFont="1" applyFill="1" applyBorder="1" applyAlignment="1">
      <alignment horizontal="right" vertical="center"/>
    </xf>
    <xf numFmtId="169" fontId="18" fillId="24" borderId="13" xfId="542" applyNumberFormat="1" applyFont="1" applyFill="1" applyBorder="1" applyAlignment="1">
      <alignment horizontal="right"/>
    </xf>
    <xf numFmtId="0" fontId="23" fillId="24" borderId="11" xfId="0" applyFont="1" applyFill="1" applyBorder="1" applyAlignment="1">
      <alignment vertical="center"/>
    </xf>
    <xf numFmtId="169" fontId="18" fillId="24" borderId="15" xfId="542" applyNumberFormat="1" applyFont="1" applyFill="1" applyBorder="1" applyAlignment="1">
      <alignment horizontal="right"/>
    </xf>
    <xf numFmtId="169" fontId="18" fillId="24" borderId="11" xfId="542" applyNumberFormat="1" applyFont="1" applyFill="1" applyBorder="1" applyAlignment="1">
      <alignment horizontal="right"/>
    </xf>
    <xf numFmtId="169" fontId="18" fillId="24" borderId="10" xfId="542" applyNumberFormat="1" applyFont="1" applyFill="1" applyBorder="1" applyAlignment="1">
      <alignment horizontal="right"/>
    </xf>
    <xf numFmtId="17" fontId="11" fillId="25" borderId="10" xfId="0" quotePrefix="1" applyNumberFormat="1" applyFont="1" applyFill="1" applyBorder="1" applyAlignment="1">
      <alignment horizontal="center" vertical="center" wrapText="1"/>
    </xf>
    <xf numFmtId="9" fontId="3" fillId="24" borderId="12" xfId="793" quotePrefix="1" applyFont="1" applyFill="1" applyBorder="1" applyAlignment="1">
      <alignment horizontal="right"/>
    </xf>
    <xf numFmtId="165" fontId="11" fillId="24" borderId="10" xfId="532" quotePrefix="1" applyNumberFormat="1" applyFont="1" applyFill="1" applyBorder="1" applyAlignment="1">
      <alignment horizontal="left" vertical="center" wrapText="1"/>
    </xf>
    <xf numFmtId="17" fontId="5" fillId="25" borderId="14" xfId="0" applyNumberFormat="1" applyFont="1" applyFill="1" applyBorder="1" applyAlignment="1">
      <alignment horizontal="center" vertical="center" wrapText="1"/>
    </xf>
    <xf numFmtId="17" fontId="5" fillId="25" borderId="10" xfId="0" applyNumberFormat="1" applyFont="1" applyFill="1" applyBorder="1" applyAlignment="1">
      <alignment horizontal="center" vertical="center" wrapText="1"/>
    </xf>
    <xf numFmtId="165" fontId="3" fillId="24" borderId="11" xfId="532" applyNumberFormat="1" applyFill="1" applyBorder="1"/>
    <xf numFmtId="165" fontId="5" fillId="24" borderId="10" xfId="0" applyNumberFormat="1" applyFont="1" applyFill="1" applyBorder="1"/>
    <xf numFmtId="0" fontId="11" fillId="24" borderId="12" xfId="0" applyFont="1" applyFill="1" applyBorder="1" applyAlignment="1">
      <alignment vertical="top"/>
    </xf>
    <xf numFmtId="9" fontId="11" fillId="24" borderId="10" xfId="0" applyNumberFormat="1" applyFont="1" applyFill="1" applyBorder="1" applyAlignment="1">
      <alignment vertical="top" wrapText="1"/>
    </xf>
    <xf numFmtId="0" fontId="8" fillId="27" borderId="0" xfId="0" quotePrefix="1" applyFont="1" applyFill="1" applyAlignment="1">
      <alignment horizontal="left" vertical="center" wrapText="1"/>
    </xf>
    <xf numFmtId="0" fontId="8" fillId="27" borderId="0" xfId="0" applyFont="1" applyFill="1" applyAlignment="1">
      <alignment horizontal="left" vertical="center" wrapText="1"/>
    </xf>
    <xf numFmtId="0" fontId="11" fillId="27" borderId="0" xfId="0" quotePrefix="1" applyFont="1" applyFill="1" applyAlignment="1">
      <alignment horizontal="left" vertical="center" wrapText="1"/>
    </xf>
    <xf numFmtId="0" fontId="11" fillId="27" borderId="0" xfId="0" quotePrefix="1" applyFont="1" applyFill="1" applyAlignment="1">
      <alignment vertical="center" wrapText="1"/>
    </xf>
    <xf numFmtId="171" fontId="11" fillId="27" borderId="0" xfId="0" applyNumberFormat="1" applyFont="1" applyFill="1" applyProtection="1">
      <protection locked="0"/>
    </xf>
    <xf numFmtId="0" fontId="44" fillId="27" borderId="0" xfId="0" applyFont="1" applyFill="1" applyAlignment="1">
      <alignment horizontal="right"/>
    </xf>
    <xf numFmtId="0" fontId="3" fillId="27" borderId="0" xfId="0" applyFont="1" applyFill="1"/>
    <xf numFmtId="9" fontId="3" fillId="27" borderId="0" xfId="793" applyFill="1" applyAlignment="1">
      <alignment horizontal="left"/>
    </xf>
    <xf numFmtId="0" fontId="11" fillId="27" borderId="0" xfId="0" applyFont="1" applyFill="1" applyAlignment="1">
      <alignment horizontal="right" vertical="center" wrapText="1"/>
    </xf>
    <xf numFmtId="165" fontId="11" fillId="27" borderId="0" xfId="532" quotePrefix="1" applyNumberFormat="1" applyFont="1" applyFill="1" applyAlignment="1">
      <alignment horizontal="left" vertical="center" wrapText="1"/>
    </xf>
    <xf numFmtId="17" fontId="11" fillId="27" borderId="0" xfId="0" quotePrefix="1" applyNumberFormat="1" applyFont="1" applyFill="1" applyAlignment="1">
      <alignment horizontal="left" vertical="center" wrapText="1"/>
    </xf>
    <xf numFmtId="0" fontId="45" fillId="27" borderId="0" xfId="0" applyFont="1" applyFill="1"/>
    <xf numFmtId="0" fontId="14" fillId="27" borderId="0" xfId="0" applyFont="1" applyFill="1"/>
    <xf numFmtId="43" fontId="11" fillId="24" borderId="12" xfId="532" quotePrefix="1" applyFont="1" applyFill="1" applyBorder="1"/>
    <xf numFmtId="165" fontId="3" fillId="24" borderId="14" xfId="532" quotePrefix="1" applyNumberFormat="1" applyFont="1" applyFill="1" applyBorder="1"/>
    <xf numFmtId="9" fontId="3" fillId="24" borderId="20" xfId="793" quotePrefix="1" applyFont="1" applyFill="1" applyBorder="1"/>
    <xf numFmtId="165" fontId="3" fillId="27" borderId="0" xfId="532" quotePrefix="1" applyNumberFormat="1" applyFont="1" applyFill="1"/>
    <xf numFmtId="165" fontId="9" fillId="27" borderId="0" xfId="532" quotePrefix="1" applyNumberFormat="1" applyFont="1" applyFill="1"/>
    <xf numFmtId="165" fontId="11" fillId="27" borderId="0" xfId="0" quotePrefix="1" applyNumberFormat="1" applyFont="1" applyFill="1"/>
    <xf numFmtId="0" fontId="48" fillId="27" borderId="0" xfId="0" applyFont="1" applyFill="1"/>
    <xf numFmtId="3" fontId="47" fillId="24" borderId="25" xfId="532" applyNumberFormat="1" applyFont="1" applyFill="1" applyBorder="1" applyAlignment="1" applyProtection="1">
      <alignment horizontal="right"/>
      <protection locked="0"/>
    </xf>
    <xf numFmtId="0" fontId="47" fillId="24" borderId="26" xfId="752" applyFont="1" applyFill="1" applyBorder="1" applyAlignment="1">
      <alignment horizontal="left"/>
    </xf>
    <xf numFmtId="3" fontId="47" fillId="24" borderId="27" xfId="532" applyNumberFormat="1" applyFont="1" applyFill="1" applyBorder="1" applyAlignment="1" applyProtection="1">
      <alignment horizontal="right"/>
      <protection locked="0"/>
    </xf>
    <xf numFmtId="0" fontId="47" fillId="24" borderId="28" xfId="752" applyFont="1" applyFill="1" applyBorder="1" applyAlignment="1">
      <alignment horizontal="left"/>
    </xf>
    <xf numFmtId="3" fontId="47" fillId="24" borderId="29" xfId="532" applyNumberFormat="1" applyFont="1" applyFill="1" applyBorder="1" applyAlignment="1" applyProtection="1">
      <alignment horizontal="right"/>
      <protection locked="0"/>
    </xf>
    <xf numFmtId="0" fontId="11" fillId="25" borderId="30" xfId="0" applyFont="1" applyFill="1" applyBorder="1"/>
    <xf numFmtId="0" fontId="11" fillId="24" borderId="31" xfId="0" applyFont="1" applyFill="1" applyBorder="1"/>
    <xf numFmtId="0" fontId="11" fillId="24" borderId="32" xfId="0" applyFont="1" applyFill="1" applyBorder="1"/>
    <xf numFmtId="0" fontId="46" fillId="25" borderId="30" xfId="752" applyFont="1" applyFill="1" applyBorder="1" applyAlignment="1">
      <alignment horizontal="center" vertical="center"/>
    </xf>
    <xf numFmtId="0" fontId="46" fillId="25" borderId="33" xfId="752" applyFont="1" applyFill="1" applyBorder="1" applyAlignment="1">
      <alignment horizontal="center" vertical="center"/>
    </xf>
    <xf numFmtId="0" fontId="8" fillId="27" borderId="0" xfId="0" applyFont="1" applyFill="1" applyAlignment="1">
      <alignment vertical="center" wrapText="1"/>
    </xf>
    <xf numFmtId="0" fontId="8" fillId="27" borderId="0" xfId="0" quotePrefix="1" applyFont="1" applyFill="1" applyAlignment="1">
      <alignment vertical="center"/>
    </xf>
    <xf numFmtId="0" fontId="22" fillId="27" borderId="0" xfId="0" applyFont="1" applyFill="1" applyAlignment="1">
      <alignment vertical="center" wrapText="1"/>
    </xf>
    <xf numFmtId="165" fontId="3" fillId="27" borderId="0" xfId="532" applyNumberFormat="1" applyFill="1"/>
    <xf numFmtId="0" fontId="18" fillId="24" borderId="17" xfId="0" quotePrefix="1" applyFont="1" applyFill="1" applyBorder="1" applyAlignment="1">
      <alignment horizontal="center"/>
    </xf>
    <xf numFmtId="0" fontId="18" fillId="24" borderId="18" xfId="0" quotePrefix="1" applyFont="1" applyFill="1" applyBorder="1" applyAlignment="1">
      <alignment horizontal="center"/>
    </xf>
    <xf numFmtId="0" fontId="18" fillId="24" borderId="19" xfId="0" applyFont="1" applyFill="1" applyBorder="1" applyAlignment="1">
      <alignment horizontal="center"/>
    </xf>
    <xf numFmtId="0" fontId="5" fillId="25" borderId="13" xfId="0" applyFont="1" applyFill="1" applyBorder="1" applyAlignment="1">
      <alignment horizontal="center" vertical="center" wrapText="1"/>
    </xf>
    <xf numFmtId="0" fontId="11" fillId="24" borderId="20" xfId="0" applyFont="1" applyFill="1" applyBorder="1" applyAlignment="1">
      <alignment vertical="center"/>
    </xf>
    <xf numFmtId="0" fontId="11" fillId="24" borderId="21" xfId="0" applyFont="1" applyFill="1" applyBorder="1" applyAlignment="1">
      <alignment vertical="center"/>
    </xf>
    <xf numFmtId="0" fontId="11" fillId="24" borderId="17" xfId="0" applyFont="1" applyFill="1" applyBorder="1" applyAlignment="1">
      <alignment vertical="center"/>
    </xf>
    <xf numFmtId="0" fontId="11" fillId="24" borderId="12" xfId="0" applyFont="1" applyFill="1" applyBorder="1" applyAlignment="1">
      <alignment vertical="center"/>
    </xf>
    <xf numFmtId="0" fontId="11" fillId="24" borderId="13" xfId="0" applyFont="1" applyFill="1" applyBorder="1" applyAlignment="1">
      <alignment vertical="center"/>
    </xf>
    <xf numFmtId="0" fontId="11" fillId="24" borderId="14" xfId="0" applyFont="1" applyFill="1" applyBorder="1" applyAlignment="1">
      <alignment vertical="center"/>
    </xf>
    <xf numFmtId="0" fontId="11" fillId="24" borderId="22" xfId="0" applyFont="1" applyFill="1" applyBorder="1" applyAlignment="1">
      <alignment vertical="center"/>
    </xf>
    <xf numFmtId="0" fontId="11" fillId="24" borderId="23" xfId="0" applyFont="1" applyFill="1" applyBorder="1" applyAlignment="1">
      <alignment vertical="center"/>
    </xf>
    <xf numFmtId="0" fontId="11" fillId="24" borderId="19" xfId="0" applyFont="1" applyFill="1" applyBorder="1" applyAlignment="1">
      <alignment vertical="center"/>
    </xf>
    <xf numFmtId="0" fontId="11" fillId="27" borderId="0" xfId="0" applyFont="1" applyFill="1" applyAlignment="1">
      <alignment horizontal="center"/>
    </xf>
    <xf numFmtId="0" fontId="11" fillId="27" borderId="0" xfId="0" applyFont="1" applyFill="1" applyAlignment="1">
      <alignment vertical="center" wrapText="1"/>
    </xf>
    <xf numFmtId="0" fontId="11" fillId="27" borderId="0" xfId="0" quotePrefix="1" applyFont="1" applyFill="1" applyAlignment="1">
      <alignment horizontal="left"/>
    </xf>
    <xf numFmtId="0" fontId="5" fillId="27" borderId="0" xfId="0" applyFont="1" applyFill="1" applyAlignment="1">
      <alignment vertical="center" wrapText="1"/>
    </xf>
    <xf numFmtId="0" fontId="11" fillId="27" borderId="0" xfId="0" applyFont="1" applyFill="1" applyAlignment="1">
      <alignment horizontal="center" vertical="center" wrapText="1"/>
    </xf>
    <xf numFmtId="0" fontId="11" fillId="27" borderId="0" xfId="0" quotePrefix="1" applyFont="1" applyFill="1" applyAlignment="1">
      <alignment horizontal="center" vertical="center" wrapText="1"/>
    </xf>
    <xf numFmtId="0" fontId="5" fillId="25" borderId="10" xfId="0" applyFont="1" applyFill="1" applyBorder="1" applyAlignment="1">
      <alignment horizontal="center" vertical="center" wrapText="1"/>
    </xf>
    <xf numFmtId="0" fontId="11" fillId="24" borderId="11" xfId="0" applyFont="1" applyFill="1" applyBorder="1" applyAlignment="1">
      <alignment vertical="center"/>
    </xf>
    <xf numFmtId="165" fontId="11" fillId="24" borderId="17" xfId="532" quotePrefix="1" applyNumberFormat="1" applyFont="1" applyFill="1" applyBorder="1" applyAlignment="1">
      <alignment horizontal="center" vertical="center" wrapText="1"/>
    </xf>
    <xf numFmtId="0" fontId="11" fillId="24" borderId="24" xfId="0" applyFont="1" applyFill="1" applyBorder="1" applyAlignment="1">
      <alignment vertical="center"/>
    </xf>
    <xf numFmtId="0" fontId="11" fillId="24" borderId="0" xfId="0" applyFont="1" applyFill="1" applyAlignment="1">
      <alignment vertical="center"/>
    </xf>
    <xf numFmtId="0" fontId="11" fillId="24" borderId="0" xfId="0" applyFont="1" applyFill="1" applyAlignment="1">
      <alignment vertical="center" wrapText="1"/>
    </xf>
    <xf numFmtId="169" fontId="11" fillId="24" borderId="15" xfId="542" applyNumberFormat="1" applyFont="1" applyFill="1" applyBorder="1" applyAlignment="1">
      <alignment horizontal="right"/>
    </xf>
    <xf numFmtId="169" fontId="11" fillId="24" borderId="0" xfId="542" applyNumberFormat="1" applyFont="1" applyFill="1" applyBorder="1" applyAlignment="1">
      <alignment horizontal="right"/>
    </xf>
    <xf numFmtId="165" fontId="11" fillId="24" borderId="18" xfId="532" applyNumberFormat="1" applyFont="1" applyFill="1" applyBorder="1" applyAlignment="1">
      <alignment horizontal="center"/>
    </xf>
    <xf numFmtId="165" fontId="11" fillId="24" borderId="19" xfId="532" applyNumberFormat="1" applyFont="1" applyFill="1" applyBorder="1" applyAlignment="1">
      <alignment horizontal="center" vertical="center" wrapText="1"/>
    </xf>
    <xf numFmtId="0" fontId="11" fillId="27" borderId="0" xfId="0" applyFont="1" applyFill="1" applyAlignment="1">
      <alignment horizontal="right"/>
    </xf>
    <xf numFmtId="0" fontId="11" fillId="27" borderId="0" xfId="0" quotePrefix="1" applyFont="1" applyFill="1"/>
    <xf numFmtId="169" fontId="11" fillId="24" borderId="10" xfId="542" applyNumberFormat="1" applyFont="1" applyFill="1" applyBorder="1" applyAlignment="1">
      <alignment horizontal="right"/>
    </xf>
    <xf numFmtId="165" fontId="11" fillId="24" borderId="10" xfId="532" applyNumberFormat="1" applyFont="1" applyFill="1" applyBorder="1" applyAlignment="1">
      <alignment horizontal="center"/>
    </xf>
    <xf numFmtId="169" fontId="11" fillId="24" borderId="21" xfId="542" applyNumberFormat="1" applyFont="1" applyFill="1" applyBorder="1" applyAlignment="1">
      <alignment horizontal="right"/>
    </xf>
    <xf numFmtId="165" fontId="11" fillId="24" borderId="17" xfId="532" applyNumberFormat="1" applyFont="1" applyFill="1" applyBorder="1" applyAlignment="1">
      <alignment horizontal="center"/>
    </xf>
    <xf numFmtId="169" fontId="11" fillId="24" borderId="11" xfId="542" applyNumberFormat="1" applyFont="1" applyFill="1" applyBorder="1" applyAlignment="1">
      <alignment horizontal="right"/>
    </xf>
    <xf numFmtId="0" fontId="11" fillId="24" borderId="24" xfId="0" applyFont="1" applyFill="1" applyBorder="1" applyAlignment="1">
      <alignment horizontal="left" vertical="center" wrapText="1"/>
    </xf>
    <xf numFmtId="0" fontId="11" fillId="24" borderId="0" xfId="0" applyFont="1" applyFill="1" applyAlignment="1">
      <alignment horizontal="left" vertical="center" wrapText="1"/>
    </xf>
    <xf numFmtId="0" fontId="11" fillId="24" borderId="22" xfId="0" applyFont="1" applyFill="1" applyBorder="1" applyAlignment="1">
      <alignment horizontal="left" vertical="center" wrapText="1"/>
    </xf>
    <xf numFmtId="0" fontId="11" fillId="24" borderId="23" xfId="0" applyFont="1" applyFill="1" applyBorder="1" applyAlignment="1">
      <alignment horizontal="left" vertical="center" wrapText="1"/>
    </xf>
    <xf numFmtId="165" fontId="11" fillId="24" borderId="11" xfId="532" applyNumberFormat="1" applyFont="1" applyFill="1" applyBorder="1" applyAlignment="1">
      <alignment horizontal="center"/>
    </xf>
    <xf numFmtId="0" fontId="5" fillId="24" borderId="12" xfId="0" quotePrefix="1" applyFont="1" applyFill="1" applyBorder="1" applyAlignment="1">
      <alignment horizontal="left" vertical="center"/>
    </xf>
    <xf numFmtId="169" fontId="5" fillId="24" borderId="22" xfId="542" applyNumberFormat="1" applyFont="1" applyFill="1" applyBorder="1" applyAlignment="1">
      <alignment vertical="center"/>
    </xf>
    <xf numFmtId="0" fontId="49" fillId="27" borderId="0" xfId="0" applyFont="1" applyFill="1"/>
    <xf numFmtId="165" fontId="5" fillId="27" borderId="0" xfId="532" applyNumberFormat="1" applyFont="1" applyFill="1" applyBorder="1" applyAlignment="1">
      <alignment horizontal="center"/>
    </xf>
    <xf numFmtId="17" fontId="5" fillId="27" borderId="0" xfId="0" applyNumberFormat="1" applyFont="1" applyFill="1" applyAlignment="1">
      <alignment horizontal="center"/>
    </xf>
    <xf numFmtId="0" fontId="11" fillId="27" borderId="0" xfId="0" applyFont="1" applyFill="1" applyAlignment="1">
      <alignment vertical="top"/>
    </xf>
    <xf numFmtId="165" fontId="11" fillId="27" borderId="0" xfId="532" applyNumberFormat="1" applyFont="1" applyFill="1" applyAlignment="1">
      <alignment horizontal="right"/>
    </xf>
    <xf numFmtId="0" fontId="11" fillId="24" borderId="10" xfId="0" applyFont="1" applyFill="1" applyBorder="1" applyAlignment="1">
      <alignment horizontal="center"/>
    </xf>
    <xf numFmtId="0" fontId="11" fillId="24" borderId="10" xfId="0" quotePrefix="1" applyFont="1" applyFill="1" applyBorder="1" applyAlignment="1">
      <alignment horizontal="center"/>
    </xf>
    <xf numFmtId="0" fontId="11" fillId="24" borderId="12" xfId="0" applyFont="1" applyFill="1" applyBorder="1" applyAlignment="1">
      <alignment horizontal="left" vertical="center" wrapText="1"/>
    </xf>
    <xf numFmtId="168" fontId="11" fillId="24" borderId="10" xfId="532" quotePrefix="1" applyNumberFormat="1" applyFont="1" applyFill="1" applyBorder="1" applyAlignment="1">
      <alignment horizontal="center"/>
    </xf>
    <xf numFmtId="169" fontId="11" fillId="24" borderId="12" xfId="542" applyNumberFormat="1" applyFont="1" applyFill="1" applyBorder="1" applyAlignment="1">
      <alignment horizontal="right"/>
    </xf>
    <xf numFmtId="165" fontId="11" fillId="24" borderId="14" xfId="532" applyNumberFormat="1" applyFont="1" applyFill="1" applyBorder="1" applyAlignment="1">
      <alignment horizontal="center"/>
    </xf>
    <xf numFmtId="169" fontId="11" fillId="24" borderId="0" xfId="542" applyNumberFormat="1" applyFont="1" applyFill="1" applyBorder="1" applyAlignment="1">
      <alignment horizontal="right" vertical="center"/>
    </xf>
    <xf numFmtId="0" fontId="5" fillId="25" borderId="20" xfId="0" applyFont="1" applyFill="1" applyBorder="1" applyAlignment="1">
      <alignment horizontal="center"/>
    </xf>
    <xf numFmtId="0" fontId="5" fillId="25" borderId="17" xfId="0" applyFont="1" applyFill="1" applyBorder="1" applyAlignment="1">
      <alignment horizontal="center"/>
    </xf>
    <xf numFmtId="0" fontId="5" fillId="25" borderId="0" xfId="0" applyFont="1" applyFill="1" applyAlignment="1">
      <alignment horizontal="center"/>
    </xf>
    <xf numFmtId="17" fontId="11" fillId="25" borderId="10" xfId="0" applyNumberFormat="1" applyFont="1" applyFill="1" applyBorder="1" applyAlignment="1">
      <alignment horizontal="center" vertical="center" wrapText="1"/>
    </xf>
    <xf numFmtId="164" fontId="8" fillId="27" borderId="0" xfId="532" applyNumberFormat="1" applyFont="1" applyFill="1" applyAlignment="1">
      <alignment vertical="center" wrapText="1"/>
    </xf>
    <xf numFmtId="164" fontId="11" fillId="27" borderId="0" xfId="532" quotePrefix="1" applyNumberFormat="1" applyFont="1" applyFill="1" applyAlignment="1">
      <alignment vertical="center" wrapText="1"/>
    </xf>
    <xf numFmtId="164" fontId="11" fillId="27" borderId="0" xfId="532" quotePrefix="1" applyNumberFormat="1" applyFont="1" applyFill="1" applyAlignment="1">
      <alignment horizontal="left" vertical="center" wrapText="1"/>
    </xf>
    <xf numFmtId="164" fontId="11" fillId="27" borderId="0" xfId="532" applyNumberFormat="1" applyFont="1" applyFill="1" applyAlignment="1">
      <alignment horizontal="left" vertical="center" wrapText="1"/>
    </xf>
    <xf numFmtId="165" fontId="0" fillId="27" borderId="0" xfId="532" applyNumberFormat="1" applyFont="1" applyFill="1"/>
    <xf numFmtId="9" fontId="3" fillId="24" borderId="24" xfId="793" applyFont="1" applyFill="1" applyBorder="1" applyAlignment="1">
      <alignment horizontal="left"/>
    </xf>
    <xf numFmtId="9" fontId="3" fillId="24" borderId="22" xfId="793" applyFont="1" applyFill="1" applyBorder="1" applyAlignment="1">
      <alignment horizontal="left"/>
    </xf>
    <xf numFmtId="0" fontId="0" fillId="24" borderId="15" xfId="0" applyFill="1" applyBorder="1"/>
    <xf numFmtId="17" fontId="11" fillId="25" borderId="12" xfId="0" applyNumberFormat="1" applyFont="1" applyFill="1" applyBorder="1" applyAlignment="1">
      <alignment horizontal="center" vertical="center" wrapText="1"/>
    </xf>
    <xf numFmtId="17" fontId="11" fillId="25" borderId="14" xfId="0" applyNumberFormat="1" applyFont="1" applyFill="1" applyBorder="1" applyAlignment="1">
      <alignment horizontal="center" vertical="center" wrapText="1"/>
    </xf>
    <xf numFmtId="165" fontId="0" fillId="24" borderId="18" xfId="532" applyNumberFormat="1" applyFont="1" applyFill="1" applyBorder="1"/>
    <xf numFmtId="165" fontId="11" fillId="24" borderId="0" xfId="532" applyNumberFormat="1" applyFont="1" applyFill="1" applyBorder="1" applyAlignment="1">
      <alignment horizontal="center" vertical="center" wrapText="1"/>
    </xf>
    <xf numFmtId="164" fontId="11" fillId="24" borderId="15" xfId="532" applyNumberFormat="1" applyFont="1" applyFill="1" applyBorder="1" applyAlignment="1">
      <alignment horizontal="center" vertical="center" wrapText="1"/>
    </xf>
    <xf numFmtId="0" fontId="11" fillId="24" borderId="10" xfId="0" applyFont="1" applyFill="1" applyBorder="1" applyAlignment="1">
      <alignment horizontal="right" vertical="center" wrapText="1"/>
    </xf>
    <xf numFmtId="165" fontId="0" fillId="24" borderId="15" xfId="532" applyNumberFormat="1" applyFont="1" applyFill="1" applyBorder="1" applyAlignment="1">
      <alignment horizontal="center"/>
    </xf>
    <xf numFmtId="164" fontId="0" fillId="24" borderId="10" xfId="0" applyNumberFormat="1" applyFill="1" applyBorder="1" applyAlignment="1">
      <alignment horizontal="center"/>
    </xf>
    <xf numFmtId="165" fontId="0" fillId="24" borderId="10" xfId="0" applyNumberFormat="1" applyFill="1" applyBorder="1" applyAlignment="1">
      <alignment horizontal="center"/>
    </xf>
    <xf numFmtId="0" fontId="36" fillId="27" borderId="0" xfId="654" applyFill="1" applyAlignment="1" applyProtection="1">
      <alignment vertical="center"/>
    </xf>
    <xf numFmtId="0" fontId="0" fillId="27" borderId="0" xfId="0" applyFill="1" applyAlignment="1" applyProtection="1">
      <alignment horizontal="left"/>
      <protection locked="0"/>
    </xf>
    <xf numFmtId="0" fontId="5" fillId="25" borderId="12" xfId="0" quotePrefix="1" applyFont="1" applyFill="1" applyBorder="1" applyAlignment="1">
      <alignment horizontal="center" vertical="center" wrapText="1"/>
    </xf>
    <xf numFmtId="0" fontId="11" fillId="25" borderId="10" xfId="0" applyFont="1" applyFill="1" applyBorder="1"/>
    <xf numFmtId="43" fontId="0" fillId="24" borderId="16" xfId="532" applyFont="1" applyFill="1" applyBorder="1"/>
    <xf numFmtId="0" fontId="11" fillId="25" borderId="12" xfId="0" applyFont="1" applyFill="1" applyBorder="1"/>
    <xf numFmtId="0" fontId="0" fillId="24" borderId="14" xfId="0" applyFill="1" applyBorder="1" applyAlignment="1">
      <alignment horizontal="center"/>
    </xf>
    <xf numFmtId="0" fontId="11" fillId="25" borderId="10" xfId="0" applyFont="1" applyFill="1" applyBorder="1" applyAlignment="1">
      <alignment horizontal="center" vertical="center" wrapText="1"/>
    </xf>
    <xf numFmtId="0" fontId="0" fillId="24" borderId="10" xfId="0" applyFill="1" applyBorder="1" applyAlignment="1">
      <alignment horizontal="center"/>
    </xf>
    <xf numFmtId="0" fontId="0" fillId="24" borderId="10" xfId="0" applyFill="1" applyBorder="1" applyAlignment="1">
      <alignment horizontal="right"/>
    </xf>
    <xf numFmtId="165" fontId="0" fillId="24" borderId="10" xfId="532" applyNumberFormat="1" applyFont="1" applyFill="1" applyBorder="1" applyAlignment="1">
      <alignment horizontal="right"/>
    </xf>
    <xf numFmtId="169" fontId="11" fillId="24" borderId="15" xfId="542" applyNumberFormat="1" applyFont="1" applyFill="1" applyBorder="1" applyAlignment="1">
      <alignment horizontal="right" vertical="center"/>
    </xf>
    <xf numFmtId="0" fontId="11" fillId="25" borderId="11" xfId="0" applyFont="1" applyFill="1" applyBorder="1" applyAlignment="1">
      <alignment horizontal="center" vertical="center" wrapText="1"/>
    </xf>
    <xf numFmtId="166" fontId="0" fillId="27" borderId="0" xfId="532" applyNumberFormat="1" applyFont="1" applyFill="1" applyBorder="1"/>
    <xf numFmtId="0" fontId="11" fillId="25" borderId="14" xfId="0" applyFont="1" applyFill="1" applyBorder="1"/>
    <xf numFmtId="43" fontId="0" fillId="24" borderId="15" xfId="532" applyFont="1" applyFill="1" applyBorder="1"/>
    <xf numFmtId="169" fontId="0" fillId="24" borderId="18" xfId="0" applyNumberFormat="1" applyFill="1" applyBorder="1"/>
    <xf numFmtId="0" fontId="11" fillId="24" borderId="24" xfId="0" applyFont="1" applyFill="1" applyBorder="1"/>
    <xf numFmtId="0" fontId="11" fillId="24" borderId="22" xfId="0" applyFont="1" applyFill="1" applyBorder="1"/>
    <xf numFmtId="169" fontId="0" fillId="24" borderId="19" xfId="0" applyNumberFormat="1" applyFill="1" applyBorder="1"/>
    <xf numFmtId="169" fontId="0" fillId="25" borderId="14" xfId="0" applyNumberFormat="1" applyFill="1" applyBorder="1"/>
    <xf numFmtId="0" fontId="11" fillId="25" borderId="13" xfId="0" applyFont="1" applyFill="1" applyBorder="1"/>
    <xf numFmtId="0" fontId="11" fillId="24" borderId="20" xfId="0" applyFont="1" applyFill="1" applyBorder="1"/>
    <xf numFmtId="0" fontId="11" fillId="24" borderId="21" xfId="0" applyFont="1" applyFill="1" applyBorder="1"/>
    <xf numFmtId="0" fontId="11" fillId="24" borderId="17" xfId="0" applyFont="1" applyFill="1" applyBorder="1"/>
    <xf numFmtId="0" fontId="11" fillId="24" borderId="0" xfId="0" applyFont="1" applyFill="1"/>
    <xf numFmtId="0" fontId="11" fillId="24" borderId="18" xfId="0" applyFont="1" applyFill="1" applyBorder="1"/>
    <xf numFmtId="17" fontId="0" fillId="24" borderId="15" xfId="0" applyNumberFormat="1" applyFill="1" applyBorder="1" applyAlignment="1">
      <alignment horizontal="left"/>
    </xf>
    <xf numFmtId="0" fontId="11" fillId="24" borderId="0" xfId="0" applyFont="1" applyFill="1" applyAlignment="1">
      <alignment vertical="top" wrapText="1"/>
    </xf>
    <xf numFmtId="0" fontId="11" fillId="24" borderId="18" xfId="0" applyFont="1" applyFill="1" applyBorder="1" applyAlignment="1">
      <alignment vertical="top" wrapText="1"/>
    </xf>
    <xf numFmtId="0" fontId="11" fillId="24" borderId="23" xfId="0" applyFont="1" applyFill="1" applyBorder="1"/>
    <xf numFmtId="0" fontId="11" fillId="24" borderId="19" xfId="0" applyFont="1" applyFill="1" applyBorder="1"/>
    <xf numFmtId="17" fontId="0" fillId="24" borderId="16" xfId="0" applyNumberFormat="1" applyFill="1" applyBorder="1" applyAlignment="1">
      <alignment horizontal="left"/>
    </xf>
    <xf numFmtId="0" fontId="0" fillId="24" borderId="11" xfId="0" applyFill="1" applyBorder="1" applyAlignment="1">
      <alignment horizontal="right"/>
    </xf>
    <xf numFmtId="0" fontId="0" fillId="24" borderId="15" xfId="0" applyFill="1" applyBorder="1" applyAlignment="1">
      <alignment horizontal="right"/>
    </xf>
    <xf numFmtId="165" fontId="0" fillId="24" borderId="16" xfId="532" applyNumberFormat="1" applyFont="1" applyFill="1" applyBorder="1" applyAlignment="1">
      <alignment horizontal="right"/>
    </xf>
    <xf numFmtId="0" fontId="0" fillId="24" borderId="16" xfId="0" applyFill="1" applyBorder="1" applyAlignment="1">
      <alignment horizontal="right"/>
    </xf>
    <xf numFmtId="0" fontId="0" fillId="24" borderId="11" xfId="0" applyFill="1" applyBorder="1" applyAlignment="1">
      <alignment horizontal="left"/>
    </xf>
    <xf numFmtId="0" fontId="0" fillId="24" borderId="15" xfId="0" applyFill="1" applyBorder="1" applyAlignment="1">
      <alignment horizontal="left"/>
    </xf>
    <xf numFmtId="0" fontId="0" fillId="24" borderId="16" xfId="0" applyFill="1" applyBorder="1" applyAlignment="1">
      <alignment horizontal="left"/>
    </xf>
    <xf numFmtId="0" fontId="51" fillId="24" borderId="0" xfId="0" applyFont="1" applyFill="1"/>
    <xf numFmtId="0" fontId="51" fillId="24" borderId="18" xfId="0" applyFont="1" applyFill="1" applyBorder="1"/>
    <xf numFmtId="43" fontId="0" fillId="24" borderId="12" xfId="532" applyFont="1" applyFill="1" applyBorder="1"/>
    <xf numFmtId="0" fontId="0" fillId="25" borderId="13" xfId="0" applyFill="1" applyBorder="1"/>
    <xf numFmtId="17" fontId="0" fillId="24" borderId="18" xfId="0" applyNumberFormat="1" applyFill="1" applyBorder="1" applyAlignment="1">
      <alignment horizontal="left"/>
    </xf>
    <xf numFmtId="17" fontId="0" fillId="24" borderId="19" xfId="0" applyNumberFormat="1" applyFill="1" applyBorder="1" applyAlignment="1">
      <alignment horizontal="left"/>
    </xf>
    <xf numFmtId="0" fontId="6" fillId="24" borderId="24" xfId="0" applyFont="1" applyFill="1" applyBorder="1"/>
    <xf numFmtId="0" fontId="0" fillId="24" borderId="18" xfId="0" applyFill="1" applyBorder="1" applyAlignment="1">
      <alignment horizontal="center"/>
    </xf>
    <xf numFmtId="0" fontId="0" fillId="24" borderId="19" xfId="0" applyFill="1" applyBorder="1" applyAlignment="1">
      <alignment horizontal="center"/>
    </xf>
    <xf numFmtId="43" fontId="0" fillId="26" borderId="13" xfId="532" applyFont="1" applyFill="1" applyBorder="1" applyProtection="1">
      <protection locked="0"/>
    </xf>
    <xf numFmtId="43" fontId="0" fillId="26" borderId="14" xfId="532" applyFont="1" applyFill="1" applyBorder="1" applyProtection="1">
      <protection locked="0"/>
    </xf>
    <xf numFmtId="43" fontId="0" fillId="26" borderId="12" xfId="532" applyFont="1" applyFill="1" applyBorder="1" applyProtection="1">
      <protection locked="0"/>
    </xf>
    <xf numFmtId="0" fontId="0" fillId="26" borderId="10" xfId="0" applyFill="1" applyBorder="1" applyAlignment="1" applyProtection="1">
      <alignment horizontal="center"/>
      <protection locked="0"/>
    </xf>
    <xf numFmtId="165" fontId="0" fillId="26" borderId="10" xfId="532" applyNumberFormat="1" applyFont="1" applyFill="1" applyBorder="1" applyProtection="1">
      <protection locked="0"/>
    </xf>
    <xf numFmtId="0" fontId="0" fillId="26" borderId="16" xfId="0" applyFill="1" applyBorder="1" applyAlignment="1" applyProtection="1">
      <alignment horizontal="center"/>
      <protection locked="0"/>
    </xf>
    <xf numFmtId="0" fontId="0" fillId="26" borderId="10" xfId="0" applyFill="1" applyBorder="1" applyAlignment="1" applyProtection="1">
      <alignment horizontal="right"/>
      <protection locked="0"/>
    </xf>
    <xf numFmtId="0" fontId="0" fillId="25" borderId="10" xfId="0" applyFill="1" applyBorder="1" applyAlignment="1">
      <alignment horizontal="center" vertical="center" wrapText="1"/>
    </xf>
    <xf numFmtId="165" fontId="11" fillId="24" borderId="11" xfId="532" applyNumberFormat="1" applyFont="1" applyFill="1" applyBorder="1"/>
    <xf numFmtId="165" fontId="11" fillId="24" borderId="15" xfId="532" applyNumberFormat="1" applyFont="1" applyFill="1" applyBorder="1"/>
    <xf numFmtId="166" fontId="0" fillId="24" borderId="11" xfId="532" applyNumberFormat="1" applyFont="1" applyFill="1" applyBorder="1"/>
    <xf numFmtId="166" fontId="0" fillId="24" borderId="15" xfId="532" applyNumberFormat="1" applyFont="1" applyFill="1" applyBorder="1"/>
    <xf numFmtId="166" fontId="0" fillId="24" borderId="16" xfId="532" applyNumberFormat="1" applyFont="1" applyFill="1" applyBorder="1"/>
    <xf numFmtId="0" fontId="11" fillId="25" borderId="17" xfId="0" applyFont="1" applyFill="1" applyBorder="1" applyAlignment="1">
      <alignment horizontal="center" vertical="center" wrapText="1"/>
    </xf>
    <xf numFmtId="0" fontId="11" fillId="25" borderId="18" xfId="0" applyFont="1" applyFill="1" applyBorder="1" applyAlignment="1">
      <alignment horizontal="center" vertical="center" wrapText="1"/>
    </xf>
    <xf numFmtId="0" fontId="8" fillId="27" borderId="0" xfId="0" applyFont="1" applyFill="1" applyAlignment="1">
      <alignment vertical="center"/>
    </xf>
    <xf numFmtId="43" fontId="0" fillId="24" borderId="16" xfId="532" applyFont="1" applyFill="1" applyBorder="1" applyProtection="1">
      <protection locked="0"/>
    </xf>
    <xf numFmtId="0" fontId="0" fillId="24" borderId="14" xfId="0" applyFill="1" applyBorder="1" applyProtection="1">
      <protection locked="0"/>
    </xf>
    <xf numFmtId="165" fontId="5" fillId="24" borderId="14" xfId="532" applyNumberFormat="1" applyFont="1" applyFill="1" applyBorder="1" applyAlignment="1">
      <alignment horizontal="center"/>
    </xf>
    <xf numFmtId="165" fontId="11" fillId="24" borderId="15" xfId="532" applyNumberFormat="1" applyFont="1" applyFill="1" applyBorder="1" applyAlignment="1">
      <alignment horizontal="right"/>
    </xf>
    <xf numFmtId="165" fontId="11" fillId="24" borderId="0" xfId="532" applyNumberFormat="1" applyFont="1" applyFill="1" applyBorder="1" applyAlignment="1">
      <alignment horizontal="right"/>
    </xf>
    <xf numFmtId="165" fontId="11" fillId="24" borderId="0" xfId="532" applyNumberFormat="1" applyFont="1" applyFill="1" applyBorder="1" applyAlignment="1">
      <alignment horizontal="right" vertical="center"/>
    </xf>
    <xf numFmtId="165" fontId="11" fillId="24" borderId="10" xfId="532" applyNumberFormat="1" applyFont="1" applyFill="1" applyBorder="1" applyAlignment="1">
      <alignment horizontal="right"/>
    </xf>
    <xf numFmtId="165" fontId="11" fillId="24" borderId="13" xfId="532" applyNumberFormat="1" applyFont="1" applyFill="1" applyBorder="1" applyAlignment="1">
      <alignment horizontal="right"/>
    </xf>
    <xf numFmtId="165" fontId="11" fillId="24" borderId="11" xfId="532" applyNumberFormat="1" applyFont="1" applyFill="1" applyBorder="1" applyAlignment="1">
      <alignment horizontal="right"/>
    </xf>
    <xf numFmtId="165" fontId="11" fillId="24" borderId="21" xfId="532" applyNumberFormat="1" applyFont="1" applyFill="1" applyBorder="1" applyAlignment="1">
      <alignment horizontal="right"/>
    </xf>
    <xf numFmtId="165" fontId="11" fillId="24" borderId="16" xfId="532" applyNumberFormat="1" applyFont="1" applyFill="1" applyBorder="1" applyAlignment="1">
      <alignment horizontal="right"/>
    </xf>
    <xf numFmtId="165" fontId="5" fillId="24" borderId="22" xfId="532" applyNumberFormat="1" applyFont="1" applyFill="1" applyBorder="1" applyAlignment="1">
      <alignment vertical="center"/>
    </xf>
    <xf numFmtId="165" fontId="5" fillId="24" borderId="10" xfId="532" applyNumberFormat="1" applyFont="1" applyFill="1" applyBorder="1" applyAlignment="1">
      <alignment vertical="center"/>
    </xf>
    <xf numFmtId="165" fontId="5" fillId="24" borderId="13" xfId="532" applyNumberFormat="1" applyFont="1" applyFill="1" applyBorder="1" applyAlignment="1">
      <alignment horizontal="right"/>
    </xf>
    <xf numFmtId="2" fontId="0" fillId="0" borderId="10" xfId="0" quotePrefix="1" applyNumberFormat="1" applyBorder="1" applyAlignment="1">
      <alignment horizontal="right" vertical="top"/>
    </xf>
    <xf numFmtId="2" fontId="0" fillId="0" borderId="10" xfId="0" applyNumberFormat="1" applyBorder="1" applyAlignment="1">
      <alignment vertical="top"/>
    </xf>
    <xf numFmtId="0" fontId="11" fillId="27" borderId="0" xfId="0" applyFont="1" applyFill="1" applyAlignment="1">
      <alignment horizontal="left" vertical="center" wrapText="1"/>
    </xf>
    <xf numFmtId="172" fontId="11" fillId="27" borderId="0" xfId="0" applyNumberFormat="1" applyFont="1" applyFill="1"/>
    <xf numFmtId="172" fontId="14" fillId="27" borderId="0" xfId="0" applyNumberFormat="1" applyFont="1" applyFill="1" applyAlignment="1">
      <alignment horizontal="left"/>
    </xf>
    <xf numFmtId="14" fontId="11" fillId="27" borderId="0" xfId="0" applyNumberFormat="1" applyFont="1" applyFill="1"/>
    <xf numFmtId="49" fontId="0" fillId="27" borderId="0" xfId="0" applyNumberFormat="1" applyFill="1"/>
    <xf numFmtId="49" fontId="0" fillId="27" borderId="0" xfId="0" quotePrefix="1" applyNumberFormat="1" applyFill="1"/>
    <xf numFmtId="0" fontId="52" fillId="27" borderId="0" xfId="0" applyFont="1" applyFill="1"/>
    <xf numFmtId="0" fontId="3" fillId="27" borderId="0" xfId="0" quotePrefix="1" applyFont="1" applyFill="1" applyAlignment="1">
      <alignment horizontal="left"/>
    </xf>
    <xf numFmtId="0" fontId="6" fillId="27" borderId="0" xfId="0" quotePrefix="1" applyFont="1" applyFill="1" applyAlignment="1">
      <alignment horizontal="left"/>
    </xf>
    <xf numFmtId="0" fontId="3" fillId="27" borderId="0" xfId="0" quotePrefix="1" applyFont="1" applyFill="1" applyAlignment="1">
      <alignment horizontal="left" indent="1"/>
    </xf>
    <xf numFmtId="0" fontId="11" fillId="27" borderId="24" xfId="0" applyFont="1" applyFill="1" applyBorder="1" applyAlignment="1">
      <alignment vertical="center" wrapText="1"/>
    </xf>
    <xf numFmtId="165" fontId="4" fillId="27" borderId="0" xfId="0" applyNumberFormat="1" applyFont="1" applyFill="1"/>
    <xf numFmtId="43" fontId="0" fillId="24" borderId="12" xfId="532" applyFont="1" applyFill="1" applyBorder="1" applyProtection="1"/>
    <xf numFmtId="0" fontId="14" fillId="27" borderId="0" xfId="0" applyFont="1" applyFill="1" applyAlignment="1">
      <alignment horizontal="left" vertical="center" indent="1"/>
    </xf>
    <xf numFmtId="165" fontId="11" fillId="24" borderId="20" xfId="532" applyNumberFormat="1" applyFont="1" applyFill="1" applyBorder="1"/>
    <xf numFmtId="165" fontId="11" fillId="24" borderId="24" xfId="532" applyNumberFormat="1" applyFont="1" applyFill="1" applyBorder="1"/>
    <xf numFmtId="0" fontId="0" fillId="25" borderId="11" xfId="0" applyFill="1" applyBorder="1" applyAlignment="1">
      <alignment horizontal="center" vertical="center" wrapText="1"/>
    </xf>
    <xf numFmtId="165" fontId="11" fillId="24" borderId="16" xfId="532" applyNumberFormat="1" applyFont="1" applyFill="1" applyBorder="1"/>
    <xf numFmtId="0" fontId="4" fillId="27" borderId="0" xfId="0" applyFont="1" applyFill="1" applyAlignment="1">
      <alignment horizontal="left" indent="1"/>
    </xf>
    <xf numFmtId="165" fontId="16" fillId="24" borderId="24" xfId="532" applyNumberFormat="1" applyFont="1" applyFill="1" applyBorder="1"/>
    <xf numFmtId="165" fontId="11" fillId="24" borderId="22" xfId="532" applyNumberFormat="1" applyFont="1" applyFill="1" applyBorder="1"/>
    <xf numFmtId="165" fontId="0" fillId="24" borderId="19" xfId="532" applyNumberFormat="1" applyFont="1" applyFill="1" applyBorder="1"/>
    <xf numFmtId="165" fontId="11" fillId="27" borderId="0" xfId="0" applyNumberFormat="1" applyFont="1" applyFill="1"/>
    <xf numFmtId="164" fontId="0" fillId="24" borderId="10" xfId="0" applyNumberFormat="1" applyFill="1" applyBorder="1"/>
    <xf numFmtId="14" fontId="3" fillId="0" borderId="10" xfId="717" applyNumberFormat="1" applyBorder="1" applyAlignment="1">
      <alignment vertical="top"/>
    </xf>
    <xf numFmtId="0" fontId="3" fillId="0" borderId="10" xfId="717" applyBorder="1" applyAlignment="1">
      <alignment vertical="top"/>
    </xf>
    <xf numFmtId="14" fontId="3" fillId="0" borderId="10" xfId="716" applyNumberFormat="1" applyBorder="1" applyAlignment="1">
      <alignment vertical="top"/>
    </xf>
    <xf numFmtId="172" fontId="3" fillId="0" borderId="10" xfId="716" applyBorder="1" applyAlignment="1">
      <alignment vertical="top"/>
    </xf>
    <xf numFmtId="0" fontId="15" fillId="27" borderId="0" xfId="0" applyFont="1" applyFill="1" applyAlignment="1">
      <alignment vertical="center"/>
    </xf>
    <xf numFmtId="14" fontId="55" fillId="0" borderId="10" xfId="708" applyNumberFormat="1" applyBorder="1" applyAlignment="1">
      <alignment vertical="top"/>
    </xf>
    <xf numFmtId="0" fontId="55" fillId="0" borderId="10" xfId="708" applyBorder="1" applyAlignment="1">
      <alignment vertical="top"/>
    </xf>
    <xf numFmtId="43" fontId="11" fillId="27" borderId="0" xfId="0" applyNumberFormat="1" applyFont="1" applyFill="1"/>
    <xf numFmtId="43" fontId="0" fillId="0" borderId="10" xfId="532" quotePrefix="1" applyFont="1" applyFill="1" applyBorder="1" applyAlignment="1">
      <alignment vertical="top"/>
    </xf>
    <xf numFmtId="14" fontId="3" fillId="0" borderId="10" xfId="713" applyNumberFormat="1" applyBorder="1" applyAlignment="1">
      <alignment vertical="top"/>
    </xf>
    <xf numFmtId="172" fontId="3" fillId="0" borderId="10" xfId="713" applyBorder="1" applyAlignment="1">
      <alignment vertical="top"/>
    </xf>
    <xf numFmtId="49" fontId="3" fillId="0" borderId="10" xfId="0" applyNumberFormat="1" applyFont="1" applyBorder="1" applyAlignment="1">
      <alignment vertical="top"/>
    </xf>
    <xf numFmtId="0" fontId="3" fillId="0" borderId="10" xfId="0" applyFont="1" applyBorder="1" applyAlignment="1">
      <alignment vertical="top"/>
    </xf>
    <xf numFmtId="173" fontId="11" fillId="24" borderId="18" xfId="532" applyNumberFormat="1" applyFont="1" applyFill="1" applyBorder="1" applyAlignment="1">
      <alignment horizontal="center"/>
    </xf>
    <xf numFmtId="173" fontId="11" fillId="24" borderId="18" xfId="532" applyNumberFormat="1" applyFont="1" applyFill="1" applyBorder="1" applyAlignment="1">
      <alignment horizontal="center" vertical="center" wrapText="1"/>
    </xf>
    <xf numFmtId="173" fontId="11" fillId="24" borderId="14" xfId="532" applyNumberFormat="1" applyFont="1" applyFill="1" applyBorder="1" applyAlignment="1">
      <alignment horizontal="center"/>
    </xf>
    <xf numFmtId="173" fontId="11" fillId="24" borderId="17" xfId="532" applyNumberFormat="1" applyFont="1" applyFill="1" applyBorder="1" applyAlignment="1">
      <alignment horizontal="center"/>
    </xf>
    <xf numFmtId="173" fontId="18" fillId="28" borderId="10" xfId="730" applyNumberFormat="1" applyFont="1" applyFill="1" applyBorder="1" applyAlignment="1">
      <alignment horizontal="center" vertical="top" wrapText="1"/>
    </xf>
    <xf numFmtId="173" fontId="18" fillId="28" borderId="11" xfId="730" applyNumberFormat="1" applyFont="1" applyFill="1" applyBorder="1" applyAlignment="1">
      <alignment horizontal="center" vertical="top" wrapText="1"/>
    </xf>
    <xf numFmtId="167" fontId="18" fillId="28" borderId="10" xfId="730" quotePrefix="1" applyNumberFormat="1" applyFont="1" applyFill="1" applyBorder="1" applyAlignment="1">
      <alignment horizontal="center" vertical="center"/>
    </xf>
    <xf numFmtId="167" fontId="18" fillId="28" borderId="16" xfId="730" applyNumberFormat="1" applyFont="1" applyFill="1" applyBorder="1" applyAlignment="1">
      <alignment horizontal="center" vertical="center"/>
    </xf>
    <xf numFmtId="0" fontId="3" fillId="0" borderId="10" xfId="0" quotePrefix="1" applyFont="1" applyBorder="1" applyAlignment="1">
      <alignment vertical="top"/>
    </xf>
    <xf numFmtId="0" fontId="0" fillId="27" borderId="0" xfId="0" applyFill="1" applyAlignment="1">
      <alignment horizontal="left" vertical="top" wrapText="1"/>
    </xf>
    <xf numFmtId="0" fontId="0" fillId="27" borderId="0" xfId="0" quotePrefix="1" applyFill="1" applyAlignment="1">
      <alignment horizontal="left" vertical="top" wrapText="1"/>
    </xf>
    <xf numFmtId="0" fontId="11" fillId="0" borderId="12"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5" fillId="25" borderId="12" xfId="0" quotePrefix="1" applyFont="1" applyFill="1" applyBorder="1" applyAlignment="1">
      <alignment horizontal="center" vertical="center" wrapText="1"/>
    </xf>
    <xf numFmtId="0" fontId="5" fillId="25" borderId="14" xfId="0" quotePrefix="1" applyFont="1" applyFill="1" applyBorder="1" applyAlignment="1">
      <alignment horizontal="center" vertical="center" wrapText="1"/>
    </xf>
    <xf numFmtId="0" fontId="11" fillId="24" borderId="20" xfId="0" applyFont="1" applyFill="1" applyBorder="1" applyAlignment="1">
      <alignment horizontal="left" vertical="center" wrapText="1"/>
    </xf>
    <xf numFmtId="0" fontId="11" fillId="24" borderId="21" xfId="0" applyFont="1" applyFill="1" applyBorder="1" applyAlignment="1">
      <alignment horizontal="left" vertical="center" wrapText="1"/>
    </xf>
    <xf numFmtId="0" fontId="5" fillId="25" borderId="12" xfId="0" applyFont="1" applyFill="1" applyBorder="1" applyAlignment="1">
      <alignment horizontal="center"/>
    </xf>
    <xf numFmtId="0" fontId="5" fillId="25" borderId="13" xfId="0" applyFont="1" applyFill="1" applyBorder="1" applyAlignment="1">
      <alignment horizontal="center"/>
    </xf>
    <xf numFmtId="0" fontId="5" fillId="25" borderId="14" xfId="0" applyFont="1" applyFill="1" applyBorder="1" applyAlignment="1">
      <alignment horizontal="center"/>
    </xf>
    <xf numFmtId="0" fontId="11" fillId="0" borderId="12" xfId="0" quotePrefix="1" applyFont="1" applyBorder="1" applyAlignment="1" applyProtection="1">
      <alignment horizontal="left" vertical="center"/>
      <protection locked="0"/>
    </xf>
    <xf numFmtId="172" fontId="3" fillId="24" borderId="12" xfId="730" applyFill="1" applyBorder="1" applyAlignment="1">
      <alignment horizontal="center" vertical="center"/>
    </xf>
    <xf numFmtId="172" fontId="3" fillId="24" borderId="14" xfId="730" applyFill="1" applyBorder="1" applyAlignment="1">
      <alignment horizontal="center" vertical="center"/>
    </xf>
    <xf numFmtId="14" fontId="11" fillId="0" borderId="12" xfId="0" applyNumberFormat="1" applyFont="1" applyBorder="1" applyAlignment="1" applyProtection="1">
      <alignment horizontal="left" vertical="center"/>
      <protection locked="0"/>
    </xf>
    <xf numFmtId="0" fontId="5" fillId="25" borderId="20" xfId="0" applyFont="1" applyFill="1" applyBorder="1" applyAlignment="1">
      <alignment horizontal="center" vertical="center"/>
    </xf>
    <xf numFmtId="0" fontId="5" fillId="25" borderId="17" xfId="0" applyFont="1" applyFill="1" applyBorder="1" applyAlignment="1">
      <alignment horizontal="center" vertical="center"/>
    </xf>
    <xf numFmtId="0" fontId="11" fillId="24" borderId="12" xfId="0" applyFont="1" applyFill="1" applyBorder="1" applyAlignment="1">
      <alignment horizontal="left" vertical="center" wrapText="1"/>
    </xf>
    <xf numFmtId="0" fontId="11" fillId="24" borderId="13" xfId="0" applyFont="1" applyFill="1" applyBorder="1" applyAlignment="1">
      <alignment horizontal="left" vertical="center" wrapText="1"/>
    </xf>
    <xf numFmtId="0" fontId="11" fillId="24" borderId="14" xfId="0" applyFont="1" applyFill="1" applyBorder="1" applyAlignment="1">
      <alignment horizontal="left" vertical="center" wrapText="1"/>
    </xf>
    <xf numFmtId="0" fontId="11" fillId="24" borderId="17" xfId="0" applyFont="1" applyFill="1" applyBorder="1" applyAlignment="1">
      <alignment horizontal="left" vertical="center" wrapText="1"/>
    </xf>
    <xf numFmtId="0" fontId="5" fillId="25" borderId="12"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22" fillId="0" borderId="12"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21" fillId="25" borderId="12" xfId="0" applyFont="1" applyFill="1" applyBorder="1" applyAlignment="1">
      <alignment horizontal="center"/>
    </xf>
    <xf numFmtId="0" fontId="21" fillId="25" borderId="13" xfId="0" applyFont="1" applyFill="1" applyBorder="1" applyAlignment="1">
      <alignment horizontal="center"/>
    </xf>
    <xf numFmtId="0" fontId="21" fillId="25" borderId="14" xfId="0" applyFont="1" applyFill="1" applyBorder="1" applyAlignment="1">
      <alignment horizontal="center"/>
    </xf>
    <xf numFmtId="0" fontId="22" fillId="0" borderId="12" xfId="0" quotePrefix="1" applyFont="1" applyBorder="1" applyAlignment="1" applyProtection="1">
      <alignment horizontal="left" vertical="center"/>
      <protection locked="0"/>
    </xf>
    <xf numFmtId="0" fontId="18" fillId="24" borderId="24" xfId="0" applyFont="1" applyFill="1" applyBorder="1" applyAlignment="1">
      <alignment horizontal="center"/>
    </xf>
    <xf numFmtId="0" fontId="18" fillId="24" borderId="18" xfId="0" applyFont="1" applyFill="1" applyBorder="1" applyAlignment="1">
      <alignment horizontal="center"/>
    </xf>
    <xf numFmtId="0" fontId="18" fillId="24" borderId="22" xfId="0" applyFont="1" applyFill="1" applyBorder="1" applyAlignment="1">
      <alignment horizontal="center"/>
    </xf>
    <xf numFmtId="0" fontId="18" fillId="24" borderId="19" xfId="0" applyFont="1" applyFill="1" applyBorder="1" applyAlignment="1">
      <alignment horizontal="center"/>
    </xf>
    <xf numFmtId="0" fontId="20" fillId="25" borderId="12" xfId="0" applyFont="1" applyFill="1" applyBorder="1" applyAlignment="1">
      <alignment horizontal="center" vertical="center" wrapText="1"/>
    </xf>
    <xf numFmtId="0" fontId="20" fillId="25" borderId="13" xfId="0" applyFont="1" applyFill="1" applyBorder="1" applyAlignment="1">
      <alignment horizontal="center" vertical="center" wrapText="1"/>
    </xf>
    <xf numFmtId="0" fontId="20" fillId="25" borderId="14" xfId="0" applyFont="1" applyFill="1" applyBorder="1" applyAlignment="1">
      <alignment horizontal="center" vertical="center" wrapText="1"/>
    </xf>
    <xf numFmtId="0" fontId="20" fillId="25" borderId="20" xfId="0" applyFont="1" applyFill="1" applyBorder="1" applyAlignment="1">
      <alignment horizontal="center" vertical="center"/>
    </xf>
    <xf numFmtId="0" fontId="20" fillId="25" borderId="17" xfId="0" applyFont="1" applyFill="1" applyBorder="1" applyAlignment="1">
      <alignment horizontal="center" vertical="center"/>
    </xf>
    <xf numFmtId="0" fontId="18" fillId="24" borderId="20" xfId="0" applyFont="1" applyFill="1" applyBorder="1" applyAlignment="1">
      <alignment horizontal="center"/>
    </xf>
    <xf numFmtId="0" fontId="18" fillId="24" borderId="17" xfId="0" applyFont="1" applyFill="1" applyBorder="1" applyAlignment="1">
      <alignment horizontal="center"/>
    </xf>
    <xf numFmtId="0" fontId="22" fillId="27" borderId="0" xfId="0" quotePrefix="1" applyFont="1" applyFill="1" applyAlignment="1">
      <alignment horizontal="left" vertical="center" wrapText="1"/>
    </xf>
    <xf numFmtId="0" fontId="22" fillId="27" borderId="0" xfId="0" applyFont="1" applyFill="1" applyAlignment="1">
      <alignment horizontal="left" vertical="center" wrapText="1"/>
    </xf>
    <xf numFmtId="0" fontId="20" fillId="25" borderId="12" xfId="0" quotePrefix="1" applyFont="1" applyFill="1" applyBorder="1" applyAlignment="1">
      <alignment horizontal="center" vertical="center" wrapText="1"/>
    </xf>
    <xf numFmtId="0" fontId="20" fillId="25" borderId="14" xfId="0" quotePrefix="1" applyFont="1" applyFill="1" applyBorder="1" applyAlignment="1">
      <alignment horizontal="center" vertical="center" wrapText="1"/>
    </xf>
    <xf numFmtId="0" fontId="18" fillId="24" borderId="20" xfId="0" applyFont="1" applyFill="1" applyBorder="1" applyAlignment="1">
      <alignment horizontal="left" vertical="center" wrapText="1"/>
    </xf>
    <xf numFmtId="0" fontId="18" fillId="24" borderId="21" xfId="0" applyFont="1" applyFill="1" applyBorder="1" applyAlignment="1">
      <alignment horizontal="left" vertical="center" wrapText="1"/>
    </xf>
    <xf numFmtId="0" fontId="18" fillId="24" borderId="17" xfId="0" applyFont="1" applyFill="1" applyBorder="1" applyAlignment="1">
      <alignment horizontal="left" vertical="center" wrapText="1"/>
    </xf>
    <xf numFmtId="0" fontId="18" fillId="24" borderId="12" xfId="0" applyFont="1" applyFill="1" applyBorder="1" applyAlignment="1">
      <alignment horizontal="left" vertical="center" wrapText="1"/>
    </xf>
    <xf numFmtId="0" fontId="18" fillId="24" borderId="13" xfId="0" applyFont="1" applyFill="1" applyBorder="1" applyAlignment="1">
      <alignment horizontal="left" vertical="center" wrapText="1"/>
    </xf>
    <xf numFmtId="0" fontId="18" fillId="24" borderId="14" xfId="0" applyFont="1" applyFill="1" applyBorder="1" applyAlignment="1">
      <alignment horizontal="left" vertical="center" wrapText="1"/>
    </xf>
    <xf numFmtId="0" fontId="0" fillId="0" borderId="24" xfId="0" applyBorder="1" applyAlignment="1" applyProtection="1">
      <alignment horizontal="left"/>
      <protection locked="0"/>
    </xf>
    <xf numFmtId="0" fontId="0" fillId="0" borderId="18" xfId="0" applyBorder="1" applyAlignment="1" applyProtection="1">
      <alignment horizontal="left"/>
      <protection locked="0"/>
    </xf>
    <xf numFmtId="0" fontId="5" fillId="25" borderId="24" xfId="0" applyFont="1" applyFill="1" applyBorder="1" applyAlignment="1">
      <alignment horizontal="center"/>
    </xf>
    <xf numFmtId="0" fontId="5" fillId="25" borderId="0" xfId="0" applyFont="1" applyFill="1" applyAlignment="1">
      <alignment horizontal="center"/>
    </xf>
    <xf numFmtId="0" fontId="0" fillId="24" borderId="12" xfId="0" applyFill="1" applyBorder="1" applyAlignment="1">
      <alignment horizontal="center"/>
    </xf>
    <xf numFmtId="0" fontId="0" fillId="24" borderId="14" xfId="0" applyFill="1" applyBorder="1" applyAlignment="1">
      <alignment horizontal="center"/>
    </xf>
    <xf numFmtId="0" fontId="0" fillId="0" borderId="20" xfId="0" applyBorder="1" applyAlignment="1" applyProtection="1">
      <alignment horizontal="left"/>
      <protection locked="0"/>
    </xf>
    <xf numFmtId="0" fontId="0" fillId="0" borderId="17" xfId="0" applyBorder="1" applyAlignment="1" applyProtection="1">
      <alignment horizontal="left"/>
      <protection locked="0"/>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0" fontId="5" fillId="25" borderId="11"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0" fillId="25" borderId="12" xfId="0" applyFill="1" applyBorder="1" applyAlignment="1">
      <alignment horizontal="center"/>
    </xf>
    <xf numFmtId="0" fontId="0" fillId="25" borderId="13" xfId="0" applyFill="1" applyBorder="1" applyAlignment="1">
      <alignment horizontal="center"/>
    </xf>
    <xf numFmtId="0" fontId="0" fillId="25" borderId="14" xfId="0"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11" xfId="0" applyFont="1" applyFill="1" applyBorder="1" applyAlignment="1">
      <alignment horizontal="center" vertical="center"/>
    </xf>
    <xf numFmtId="0" fontId="0" fillId="25" borderId="16" xfId="0" applyFill="1" applyBorder="1" applyAlignment="1">
      <alignment horizontal="center" vertical="center"/>
    </xf>
    <xf numFmtId="17" fontId="0" fillId="27" borderId="0" xfId="0" applyNumberFormat="1" applyFill="1" applyAlignment="1">
      <alignment horizontal="left"/>
    </xf>
    <xf numFmtId="0" fontId="5" fillId="25" borderId="22" xfId="0" applyFont="1" applyFill="1" applyBorder="1" applyAlignment="1">
      <alignment horizontal="center" vertical="center"/>
    </xf>
    <xf numFmtId="0" fontId="5" fillId="25" borderId="19" xfId="0" applyFont="1" applyFill="1" applyBorder="1" applyAlignment="1">
      <alignment horizontal="center" vertical="center"/>
    </xf>
    <xf numFmtId="0" fontId="5" fillId="25" borderId="12" xfId="0" quotePrefix="1" applyFont="1" applyFill="1" applyBorder="1" applyAlignment="1">
      <alignment horizontal="center"/>
    </xf>
    <xf numFmtId="0" fontId="5" fillId="25" borderId="13" xfId="0" quotePrefix="1" applyFont="1" applyFill="1" applyBorder="1" applyAlignment="1">
      <alignment horizontal="center"/>
    </xf>
    <xf numFmtId="0" fontId="5" fillId="25" borderId="14" xfId="0" quotePrefix="1" applyFont="1" applyFill="1" applyBorder="1" applyAlignment="1">
      <alignment horizontal="center"/>
    </xf>
    <xf numFmtId="0" fontId="5" fillId="25" borderId="21" xfId="0" applyFont="1" applyFill="1" applyBorder="1" applyAlignment="1">
      <alignment horizontal="center" vertical="center"/>
    </xf>
    <xf numFmtId="0" fontId="5" fillId="25" borderId="23" xfId="0" applyFont="1" applyFill="1" applyBorder="1" applyAlignment="1">
      <alignment horizontal="center" vertical="center"/>
    </xf>
    <xf numFmtId="0" fontId="5" fillId="25" borderId="20" xfId="0" applyFont="1" applyFill="1" applyBorder="1" applyAlignment="1">
      <alignment horizontal="center"/>
    </xf>
    <xf numFmtId="0" fontId="5" fillId="25" borderId="21" xfId="0" applyFont="1" applyFill="1" applyBorder="1" applyAlignment="1">
      <alignment horizontal="center"/>
    </xf>
    <xf numFmtId="0" fontId="5" fillId="25" borderId="17" xfId="0" applyFont="1" applyFill="1" applyBorder="1" applyAlignment="1">
      <alignment horizontal="center"/>
    </xf>
    <xf numFmtId="0" fontId="0" fillId="0" borderId="22" xfId="0" applyBorder="1" applyAlignment="1" applyProtection="1">
      <alignment horizontal="left"/>
      <protection locked="0"/>
    </xf>
    <xf numFmtId="0" fontId="0" fillId="0" borderId="19" xfId="0" applyBorder="1" applyAlignment="1" applyProtection="1">
      <alignment horizontal="left"/>
      <protection locked="0"/>
    </xf>
    <xf numFmtId="0" fontId="5" fillId="27" borderId="12" xfId="0" applyFont="1" applyFill="1" applyBorder="1" applyAlignment="1">
      <alignment horizontal="center" vertical="center" wrapText="1"/>
    </xf>
    <xf numFmtId="0" fontId="5" fillId="27" borderId="13" xfId="0" applyFont="1" applyFill="1" applyBorder="1" applyAlignment="1">
      <alignment horizontal="center" vertical="center" wrapText="1"/>
    </xf>
    <xf numFmtId="0" fontId="5" fillId="27" borderId="14"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21"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0" xfId="0" applyFont="1" applyFill="1" applyAlignment="1">
      <alignment horizontal="center" vertical="center" wrapText="1"/>
    </xf>
    <xf numFmtId="0" fontId="5" fillId="24" borderId="18" xfId="0" applyFont="1" applyFill="1" applyBorder="1" applyAlignment="1">
      <alignment horizontal="center" vertical="center" wrapText="1"/>
    </xf>
    <xf numFmtId="0" fontId="5" fillId="24" borderId="12" xfId="0" quotePrefix="1"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0" fillId="27" borderId="20" xfId="0" applyFill="1" applyBorder="1" applyAlignment="1">
      <alignment horizontal="center"/>
    </xf>
    <xf numFmtId="0" fontId="0" fillId="27" borderId="21" xfId="0" applyFill="1" applyBorder="1" applyAlignment="1">
      <alignment horizontal="center"/>
    </xf>
    <xf numFmtId="0" fontId="0" fillId="27" borderId="22" xfId="0" applyFill="1" applyBorder="1" applyAlignment="1">
      <alignment horizontal="left"/>
    </xf>
    <xf numFmtId="0" fontId="0" fillId="27" borderId="23" xfId="0" applyFill="1" applyBorder="1" applyAlignment="1">
      <alignment horizontal="left"/>
    </xf>
    <xf numFmtId="0" fontId="5" fillId="24" borderId="20" xfId="0" applyFont="1" applyFill="1" applyBorder="1" applyAlignment="1">
      <alignment horizontal="center" vertical="center"/>
    </xf>
    <xf numFmtId="0" fontId="5" fillId="24" borderId="21" xfId="0" applyFont="1" applyFill="1" applyBorder="1" applyAlignment="1">
      <alignment horizontal="center" vertical="center"/>
    </xf>
    <xf numFmtId="0" fontId="5" fillId="24" borderId="17"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20" xfId="0" quotePrefix="1" applyFont="1" applyFill="1" applyBorder="1" applyAlignment="1">
      <alignment horizontal="center" vertical="center"/>
    </xf>
    <xf numFmtId="0" fontId="5" fillId="24" borderId="17" xfId="0" quotePrefix="1" applyFont="1" applyFill="1" applyBorder="1" applyAlignment="1">
      <alignment horizontal="center" vertical="center"/>
    </xf>
    <xf numFmtId="0" fontId="5" fillId="24" borderId="22" xfId="0" quotePrefix="1" applyFont="1" applyFill="1" applyBorder="1" applyAlignment="1">
      <alignment horizontal="center" vertical="center"/>
    </xf>
    <xf numFmtId="0" fontId="5" fillId="24" borderId="19" xfId="0" quotePrefix="1" applyFont="1" applyFill="1" applyBorder="1" applyAlignment="1">
      <alignment horizontal="center" vertical="center"/>
    </xf>
    <xf numFmtId="0" fontId="5" fillId="24" borderId="22" xfId="0" applyFont="1" applyFill="1" applyBorder="1" applyAlignment="1">
      <alignment horizontal="center" vertical="center" wrapText="1"/>
    </xf>
    <xf numFmtId="0" fontId="5" fillId="24" borderId="23" xfId="0" applyFont="1" applyFill="1" applyBorder="1" applyAlignment="1">
      <alignment horizontal="center" vertical="center" wrapText="1"/>
    </xf>
    <xf numFmtId="0" fontId="5" fillId="24" borderId="19" xfId="0" applyFont="1" applyFill="1" applyBorder="1" applyAlignment="1">
      <alignment horizontal="center" vertical="center" wrapText="1"/>
    </xf>
    <xf numFmtId="0" fontId="5" fillId="24" borderId="22" xfId="0" quotePrefix="1" applyFont="1" applyFill="1" applyBorder="1" applyAlignment="1">
      <alignment horizontal="center"/>
    </xf>
    <xf numFmtId="0" fontId="5" fillId="24" borderId="23" xfId="0" applyFont="1" applyFill="1" applyBorder="1" applyAlignment="1">
      <alignment horizontal="center"/>
    </xf>
    <xf numFmtId="0" fontId="5" fillId="24" borderId="12" xfId="0" quotePrefix="1" applyFont="1" applyFill="1" applyBorder="1" applyAlignment="1">
      <alignment horizontal="center" vertical="center"/>
    </xf>
    <xf numFmtId="0" fontId="5" fillId="24" borderId="13" xfId="0" quotePrefix="1" applyFont="1" applyFill="1" applyBorder="1" applyAlignment="1">
      <alignment horizontal="center" vertical="center"/>
    </xf>
    <xf numFmtId="0" fontId="5" fillId="24" borderId="12" xfId="0" applyFont="1" applyFill="1" applyBorder="1" applyAlignment="1">
      <alignment horizontal="center"/>
    </xf>
    <xf numFmtId="0" fontId="5" fillId="24" borderId="13" xfId="0" applyFont="1" applyFill="1" applyBorder="1" applyAlignment="1">
      <alignment horizontal="center"/>
    </xf>
    <xf numFmtId="0" fontId="5" fillId="24" borderId="14" xfId="0" applyFont="1" applyFill="1" applyBorder="1" applyAlignment="1">
      <alignment horizontal="center"/>
    </xf>
    <xf numFmtId="0" fontId="5" fillId="24" borderId="19" xfId="0" applyFont="1" applyFill="1" applyBorder="1" applyAlignment="1">
      <alignment horizontal="center"/>
    </xf>
    <xf numFmtId="0" fontId="0" fillId="24" borderId="13" xfId="0" applyFill="1" applyBorder="1" applyAlignment="1">
      <alignment horizontal="center"/>
    </xf>
    <xf numFmtId="0" fontId="5" fillId="24" borderId="20" xfId="0" applyFont="1" applyFill="1" applyBorder="1" applyAlignment="1">
      <alignment horizontal="center"/>
    </xf>
    <xf numFmtId="0" fontId="5" fillId="24" borderId="21" xfId="0" applyFont="1" applyFill="1" applyBorder="1" applyAlignment="1">
      <alignment horizontal="center"/>
    </xf>
    <xf numFmtId="0" fontId="5" fillId="24" borderId="17" xfId="0" applyFont="1" applyFill="1" applyBorder="1" applyAlignment="1">
      <alignment horizontal="center"/>
    </xf>
    <xf numFmtId="0" fontId="11" fillId="24" borderId="12" xfId="0" applyFont="1" applyFill="1" applyBorder="1" applyAlignment="1">
      <alignment horizontal="left" vertical="top" wrapText="1"/>
    </xf>
    <xf numFmtId="0" fontId="11" fillId="24" borderId="13" xfId="0" applyFont="1" applyFill="1" applyBorder="1" applyAlignment="1">
      <alignment horizontal="left" vertical="top" wrapText="1"/>
    </xf>
    <xf numFmtId="0" fontId="11" fillId="24" borderId="14" xfId="0" applyFont="1" applyFill="1" applyBorder="1" applyAlignment="1">
      <alignment horizontal="left" vertical="top" wrapText="1"/>
    </xf>
    <xf numFmtId="0" fontId="11" fillId="27" borderId="0" xfId="0" quotePrefix="1" applyFont="1" applyFill="1" applyAlignment="1">
      <alignment vertical="center" wrapText="1"/>
    </xf>
    <xf numFmtId="17" fontId="5" fillId="25" borderId="12" xfId="0" applyNumberFormat="1" applyFont="1" applyFill="1" applyBorder="1" applyAlignment="1">
      <alignment horizontal="center" vertical="center" wrapText="1"/>
    </xf>
    <xf numFmtId="17" fontId="5" fillId="25" borderId="13" xfId="0" applyNumberFormat="1" applyFont="1" applyFill="1" applyBorder="1" applyAlignment="1">
      <alignment horizontal="center" vertical="center" wrapText="1"/>
    </xf>
    <xf numFmtId="17" fontId="5" fillId="25" borderId="14" xfId="0" applyNumberFormat="1" applyFont="1" applyFill="1" applyBorder="1" applyAlignment="1">
      <alignment horizontal="center" vertical="center" wrapText="1"/>
    </xf>
    <xf numFmtId="0" fontId="11" fillId="24" borderId="12" xfId="0" applyFont="1" applyFill="1" applyBorder="1" applyAlignment="1">
      <alignment horizontal="center" vertical="top" wrapText="1"/>
    </xf>
    <xf numFmtId="0" fontId="11" fillId="24" borderId="13" xfId="0" applyFont="1" applyFill="1" applyBorder="1" applyAlignment="1">
      <alignment horizontal="center" vertical="top" wrapText="1"/>
    </xf>
    <xf numFmtId="0" fontId="11" fillId="24" borderId="14" xfId="0" applyFont="1" applyFill="1" applyBorder="1" applyAlignment="1">
      <alignment horizontal="center" vertical="top" wrapText="1"/>
    </xf>
    <xf numFmtId="17" fontId="5" fillId="25" borderId="20" xfId="0" applyNumberFormat="1" applyFont="1" applyFill="1" applyBorder="1" applyAlignment="1">
      <alignment horizontal="center" vertical="center" wrapText="1"/>
    </xf>
    <xf numFmtId="17" fontId="5" fillId="25" borderId="21" xfId="0" applyNumberFormat="1" applyFont="1" applyFill="1" applyBorder="1" applyAlignment="1">
      <alignment horizontal="center" vertical="center" wrapText="1"/>
    </xf>
    <xf numFmtId="17" fontId="5" fillId="25" borderId="17" xfId="0" applyNumberFormat="1" applyFont="1" applyFill="1" applyBorder="1" applyAlignment="1">
      <alignment horizontal="center" vertical="center" wrapText="1"/>
    </xf>
    <xf numFmtId="17" fontId="11" fillId="25" borderId="12" xfId="0" applyNumberFormat="1" applyFont="1" applyFill="1" applyBorder="1" applyAlignment="1">
      <alignment horizontal="center" vertical="center" wrapText="1"/>
    </xf>
    <xf numFmtId="17" fontId="11" fillId="25" borderId="14" xfId="0" applyNumberFormat="1" applyFont="1" applyFill="1" applyBorder="1" applyAlignment="1">
      <alignment horizontal="center" vertical="center" wrapText="1"/>
    </xf>
    <xf numFmtId="17" fontId="11" fillId="25" borderId="11" xfId="0" applyNumberFormat="1" applyFont="1" applyFill="1" applyBorder="1" applyAlignment="1">
      <alignment horizontal="center" vertical="center" wrapText="1"/>
    </xf>
    <xf numFmtId="17" fontId="11" fillId="25" borderId="16" xfId="0" applyNumberFormat="1" applyFont="1" applyFill="1" applyBorder="1" applyAlignment="1">
      <alignment horizontal="center" vertical="center" wrapText="1"/>
    </xf>
    <xf numFmtId="0" fontId="5" fillId="25" borderId="20" xfId="0" applyFont="1" applyFill="1" applyBorder="1" applyAlignment="1">
      <alignment horizontal="center" vertical="center" wrapText="1"/>
    </xf>
    <xf numFmtId="0" fontId="5" fillId="25" borderId="21"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22" xfId="0" applyFont="1" applyFill="1" applyBorder="1" applyAlignment="1">
      <alignment horizontal="center" vertical="center" wrapText="1"/>
    </xf>
    <xf numFmtId="0" fontId="5" fillId="25" borderId="23" xfId="0" applyFont="1" applyFill="1" applyBorder="1" applyAlignment="1">
      <alignment horizontal="center" vertical="center" wrapText="1"/>
    </xf>
    <xf numFmtId="0" fontId="5" fillId="25" borderId="19" xfId="0" applyFont="1" applyFill="1" applyBorder="1" applyAlignment="1">
      <alignment horizontal="center" vertical="center" wrapText="1"/>
    </xf>
    <xf numFmtId="0" fontId="11" fillId="25" borderId="12" xfId="0" applyFont="1" applyFill="1" applyBorder="1" applyAlignment="1">
      <alignment horizontal="center" vertical="center" wrapText="1"/>
    </xf>
    <xf numFmtId="0" fontId="11" fillId="25" borderId="13" xfId="0" applyFont="1" applyFill="1" applyBorder="1" applyAlignment="1">
      <alignment horizontal="center" vertical="center" wrapText="1"/>
    </xf>
    <xf numFmtId="0" fontId="11" fillId="25" borderId="14" xfId="0" applyFont="1" applyFill="1" applyBorder="1" applyAlignment="1">
      <alignment horizontal="center" vertical="center" wrapText="1"/>
    </xf>
    <xf numFmtId="0" fontId="11" fillId="25" borderId="20" xfId="0" applyFont="1" applyFill="1" applyBorder="1" applyAlignment="1">
      <alignment horizontal="center" vertical="center" wrapText="1"/>
    </xf>
    <xf numFmtId="0" fontId="11" fillId="25" borderId="21" xfId="0" applyFont="1" applyFill="1" applyBorder="1" applyAlignment="1">
      <alignment horizontal="center" vertical="center" wrapText="1"/>
    </xf>
    <xf numFmtId="0" fontId="11" fillId="25" borderId="24" xfId="0" applyFont="1" applyFill="1" applyBorder="1" applyAlignment="1">
      <alignment horizontal="center" vertical="center" wrapText="1"/>
    </xf>
    <xf numFmtId="0" fontId="11" fillId="25" borderId="0" xfId="0" applyFont="1" applyFill="1" applyAlignment="1">
      <alignment horizontal="center" vertical="center" wrapText="1"/>
    </xf>
    <xf numFmtId="0" fontId="11" fillId="25" borderId="17" xfId="0" applyFont="1" applyFill="1" applyBorder="1" applyAlignment="1">
      <alignment horizontal="center" vertical="center" wrapText="1"/>
    </xf>
    <xf numFmtId="0" fontId="11" fillId="25" borderId="22" xfId="0" applyFont="1" applyFill="1" applyBorder="1" applyAlignment="1">
      <alignment horizontal="center" vertical="center" wrapText="1"/>
    </xf>
    <xf numFmtId="0" fontId="11" fillId="25" borderId="23" xfId="0" applyFont="1" applyFill="1" applyBorder="1" applyAlignment="1">
      <alignment horizontal="center" vertical="center" wrapText="1"/>
    </xf>
    <xf numFmtId="0" fontId="11" fillId="25" borderId="19" xfId="0" applyFont="1" applyFill="1" applyBorder="1" applyAlignment="1">
      <alignment horizontal="center" vertical="center" wrapText="1"/>
    </xf>
    <xf numFmtId="172" fontId="3" fillId="0" borderId="10" xfId="713" quotePrefix="1" applyBorder="1" applyAlignment="1">
      <alignment horizontal="left" vertical="top" wrapText="1"/>
    </xf>
    <xf numFmtId="172" fontId="3" fillId="0" borderId="10" xfId="713" applyBorder="1" applyAlignment="1">
      <alignment vertical="top" wrapText="1"/>
    </xf>
    <xf numFmtId="172" fontId="3" fillId="0" borderId="10" xfId="716" quotePrefix="1" applyBorder="1" applyAlignment="1">
      <alignment horizontal="left" vertical="top" wrapText="1"/>
    </xf>
    <xf numFmtId="172" fontId="3" fillId="0" borderId="10" xfId="716" applyBorder="1" applyAlignment="1">
      <alignment vertical="top" wrapText="1"/>
    </xf>
    <xf numFmtId="0" fontId="3" fillId="0" borderId="10" xfId="717" quotePrefix="1" applyBorder="1" applyAlignment="1">
      <alignment horizontal="left" vertical="top" wrapText="1"/>
    </xf>
    <xf numFmtId="0" fontId="3" fillId="0" borderId="10" xfId="717" applyBorder="1" applyAlignment="1">
      <alignment vertical="top" wrapText="1"/>
    </xf>
    <xf numFmtId="0" fontId="0" fillId="0" borderId="10" xfId="0" applyBorder="1" applyAlignment="1">
      <alignment horizontal="left" vertical="top" wrapText="1"/>
    </xf>
    <xf numFmtId="0" fontId="0" fillId="0" borderId="10" xfId="0" applyBorder="1" applyAlignment="1">
      <alignment vertical="top" wrapText="1"/>
    </xf>
    <xf numFmtId="0" fontId="3" fillId="0" borderId="10" xfId="0" applyFont="1" applyBorder="1" applyAlignment="1">
      <alignment horizontal="left" vertical="top" wrapText="1"/>
    </xf>
    <xf numFmtId="0" fontId="0" fillId="0" borderId="12" xfId="0" quotePrefix="1" applyBorder="1" applyAlignment="1">
      <alignment horizontal="left" vertical="top" wrapText="1"/>
    </xf>
    <xf numFmtId="0" fontId="0" fillId="0" borderId="13" xfId="0" quotePrefix="1" applyBorder="1" applyAlignment="1">
      <alignment horizontal="left" vertical="top" wrapText="1"/>
    </xf>
    <xf numFmtId="0" fontId="0" fillId="0" borderId="14" xfId="0" quotePrefix="1" applyBorder="1" applyAlignment="1">
      <alignment horizontal="left" vertical="top" wrapText="1"/>
    </xf>
    <xf numFmtId="0" fontId="0" fillId="0" borderId="10" xfId="0" quotePrefix="1" applyBorder="1" applyAlignment="1">
      <alignment horizontal="left" vertical="top" wrapText="1"/>
    </xf>
    <xf numFmtId="0" fontId="3" fillId="0" borderId="10" xfId="0" quotePrefix="1" applyFont="1" applyBorder="1" applyAlignment="1">
      <alignment horizontal="left" vertical="top" wrapText="1"/>
    </xf>
    <xf numFmtId="0" fontId="3" fillId="0" borderId="10" xfId="708" quotePrefix="1" applyFont="1" applyBorder="1" applyAlignment="1">
      <alignment horizontal="left" vertical="top" wrapText="1"/>
    </xf>
    <xf numFmtId="0" fontId="55" fillId="0" borderId="10" xfId="708" applyBorder="1" applyAlignment="1">
      <alignmen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cellXfs>
  <cellStyles count="852">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2 3 2" xfId="7" xr:uid="{00000000-0005-0000-0000-000006000000}"/>
    <cellStyle name="20% - Accent1 2 4" xfId="8" xr:uid="{00000000-0005-0000-0000-000007000000}"/>
    <cellStyle name="20% - Accent1 2 5" xfId="9" xr:uid="{00000000-0005-0000-0000-000008000000}"/>
    <cellStyle name="20% - Accent1 2 5 2" xfId="10" xr:uid="{00000000-0005-0000-0000-000009000000}"/>
    <cellStyle name="20% - Accent1 2 5 3" xfId="11" xr:uid="{00000000-0005-0000-0000-00000A000000}"/>
    <cellStyle name="20% - Accent1 2 6" xfId="12" xr:uid="{00000000-0005-0000-0000-00000B000000}"/>
    <cellStyle name="20% - Accent1 3" xfId="13" xr:uid="{00000000-0005-0000-0000-00000C000000}"/>
    <cellStyle name="20% - Accent1 3 2" xfId="14" xr:uid="{00000000-0005-0000-0000-00000D000000}"/>
    <cellStyle name="20% - Accent1 4" xfId="15" xr:uid="{00000000-0005-0000-0000-00000E000000}"/>
    <cellStyle name="20% - Accent1 5" xfId="16" xr:uid="{00000000-0005-0000-0000-00000F000000}"/>
    <cellStyle name="20% - Accent1 5 2" xfId="17" xr:uid="{00000000-0005-0000-0000-000010000000}"/>
    <cellStyle name="20% - Accent1 5 3" xfId="18" xr:uid="{00000000-0005-0000-0000-000011000000}"/>
    <cellStyle name="20% - Accent1 5 4" xfId="19" xr:uid="{00000000-0005-0000-0000-000012000000}"/>
    <cellStyle name="20% - Accent1 6" xfId="20" xr:uid="{00000000-0005-0000-0000-000013000000}"/>
    <cellStyle name="20% - Accent1 7" xfId="21" xr:uid="{00000000-0005-0000-0000-000014000000}"/>
    <cellStyle name="20% - Accent1 8" xfId="22" xr:uid="{00000000-0005-0000-0000-000015000000}"/>
    <cellStyle name="20% - Accent1 9" xfId="23" xr:uid="{00000000-0005-0000-0000-000016000000}"/>
    <cellStyle name="20% - Accent2" xfId="24" builtinId="34" customBuiltin="1"/>
    <cellStyle name="20% - Accent2 10" xfId="25" xr:uid="{00000000-0005-0000-0000-000018000000}"/>
    <cellStyle name="20% - Accent2 2" xfId="26" xr:uid="{00000000-0005-0000-0000-000019000000}"/>
    <cellStyle name="20% - Accent2 2 2" xfId="27" xr:uid="{00000000-0005-0000-0000-00001A000000}"/>
    <cellStyle name="20% - Accent2 2 2 2" xfId="28" xr:uid="{00000000-0005-0000-0000-00001B000000}"/>
    <cellStyle name="20% - Accent2 2 3" xfId="29" xr:uid="{00000000-0005-0000-0000-00001C000000}"/>
    <cellStyle name="20% - Accent2 2 3 2" xfId="30" xr:uid="{00000000-0005-0000-0000-00001D000000}"/>
    <cellStyle name="20% - Accent2 2 4" xfId="31" xr:uid="{00000000-0005-0000-0000-00001E000000}"/>
    <cellStyle name="20% - Accent2 2 5" xfId="32" xr:uid="{00000000-0005-0000-0000-00001F000000}"/>
    <cellStyle name="20% - Accent2 2 5 2" xfId="33" xr:uid="{00000000-0005-0000-0000-000020000000}"/>
    <cellStyle name="20% - Accent2 2 5 3" xfId="34" xr:uid="{00000000-0005-0000-0000-000021000000}"/>
    <cellStyle name="20% - Accent2 2 6" xfId="35" xr:uid="{00000000-0005-0000-0000-000022000000}"/>
    <cellStyle name="20% - Accent2 3" xfId="36" xr:uid="{00000000-0005-0000-0000-000023000000}"/>
    <cellStyle name="20% - Accent2 3 2" xfId="37" xr:uid="{00000000-0005-0000-0000-000024000000}"/>
    <cellStyle name="20% - Accent2 4" xfId="38" xr:uid="{00000000-0005-0000-0000-000025000000}"/>
    <cellStyle name="20% - Accent2 5" xfId="39" xr:uid="{00000000-0005-0000-0000-000026000000}"/>
    <cellStyle name="20% - Accent2 5 2" xfId="40" xr:uid="{00000000-0005-0000-0000-000027000000}"/>
    <cellStyle name="20% - Accent2 5 3" xfId="41" xr:uid="{00000000-0005-0000-0000-000028000000}"/>
    <cellStyle name="20% - Accent2 5 4" xfId="42" xr:uid="{00000000-0005-0000-0000-000029000000}"/>
    <cellStyle name="20% - Accent2 6" xfId="43" xr:uid="{00000000-0005-0000-0000-00002A000000}"/>
    <cellStyle name="20% - Accent2 7" xfId="44" xr:uid="{00000000-0005-0000-0000-00002B000000}"/>
    <cellStyle name="20% - Accent2 8" xfId="45" xr:uid="{00000000-0005-0000-0000-00002C000000}"/>
    <cellStyle name="20% - Accent2 9" xfId="46" xr:uid="{00000000-0005-0000-0000-00002D000000}"/>
    <cellStyle name="20% - Accent3" xfId="47" builtinId="38" customBuiltin="1"/>
    <cellStyle name="20% - Accent3 10" xfId="48" xr:uid="{00000000-0005-0000-0000-00002F000000}"/>
    <cellStyle name="20% - Accent3 2" xfId="49" xr:uid="{00000000-0005-0000-0000-000030000000}"/>
    <cellStyle name="20% - Accent3 2 2" xfId="50" xr:uid="{00000000-0005-0000-0000-000031000000}"/>
    <cellStyle name="20% - Accent3 2 2 2" xfId="51" xr:uid="{00000000-0005-0000-0000-000032000000}"/>
    <cellStyle name="20% - Accent3 2 3" xfId="52" xr:uid="{00000000-0005-0000-0000-000033000000}"/>
    <cellStyle name="20% - Accent3 2 3 2" xfId="53" xr:uid="{00000000-0005-0000-0000-000034000000}"/>
    <cellStyle name="20% - Accent3 2 4" xfId="54" xr:uid="{00000000-0005-0000-0000-000035000000}"/>
    <cellStyle name="20% - Accent3 2 5" xfId="55" xr:uid="{00000000-0005-0000-0000-000036000000}"/>
    <cellStyle name="20% - Accent3 2 5 2" xfId="56" xr:uid="{00000000-0005-0000-0000-000037000000}"/>
    <cellStyle name="20% - Accent3 2 5 3" xfId="57" xr:uid="{00000000-0005-0000-0000-000038000000}"/>
    <cellStyle name="20% - Accent3 2 6" xfId="58" xr:uid="{00000000-0005-0000-0000-000039000000}"/>
    <cellStyle name="20% - Accent3 3" xfId="59" xr:uid="{00000000-0005-0000-0000-00003A000000}"/>
    <cellStyle name="20% - Accent3 3 2" xfId="60" xr:uid="{00000000-0005-0000-0000-00003B000000}"/>
    <cellStyle name="20% - Accent3 4" xfId="61" xr:uid="{00000000-0005-0000-0000-00003C000000}"/>
    <cellStyle name="20% - Accent3 5" xfId="62" xr:uid="{00000000-0005-0000-0000-00003D000000}"/>
    <cellStyle name="20% - Accent3 5 2" xfId="63" xr:uid="{00000000-0005-0000-0000-00003E000000}"/>
    <cellStyle name="20% - Accent3 5 3" xfId="64" xr:uid="{00000000-0005-0000-0000-00003F000000}"/>
    <cellStyle name="20% - Accent3 5 4" xfId="65" xr:uid="{00000000-0005-0000-0000-000040000000}"/>
    <cellStyle name="20% - Accent3 6" xfId="66" xr:uid="{00000000-0005-0000-0000-000041000000}"/>
    <cellStyle name="20% - Accent3 7" xfId="67" xr:uid="{00000000-0005-0000-0000-000042000000}"/>
    <cellStyle name="20% - Accent3 8" xfId="68" xr:uid="{00000000-0005-0000-0000-000043000000}"/>
    <cellStyle name="20% - Accent3 9" xfId="69" xr:uid="{00000000-0005-0000-0000-000044000000}"/>
    <cellStyle name="20% - Accent4" xfId="70" builtinId="42" customBuiltin="1"/>
    <cellStyle name="20% - Accent4 10" xfId="71" xr:uid="{00000000-0005-0000-0000-000046000000}"/>
    <cellStyle name="20% - Accent4 2" xfId="72" xr:uid="{00000000-0005-0000-0000-000047000000}"/>
    <cellStyle name="20% - Accent4 2 2" xfId="73" xr:uid="{00000000-0005-0000-0000-000048000000}"/>
    <cellStyle name="20% - Accent4 2 2 2" xfId="74" xr:uid="{00000000-0005-0000-0000-000049000000}"/>
    <cellStyle name="20% - Accent4 2 3" xfId="75" xr:uid="{00000000-0005-0000-0000-00004A000000}"/>
    <cellStyle name="20% - Accent4 2 3 2" xfId="76" xr:uid="{00000000-0005-0000-0000-00004B000000}"/>
    <cellStyle name="20% - Accent4 2 4" xfId="77" xr:uid="{00000000-0005-0000-0000-00004C000000}"/>
    <cellStyle name="20% - Accent4 2 5" xfId="78" xr:uid="{00000000-0005-0000-0000-00004D000000}"/>
    <cellStyle name="20% - Accent4 2 5 2" xfId="79" xr:uid="{00000000-0005-0000-0000-00004E000000}"/>
    <cellStyle name="20% - Accent4 2 5 3" xfId="80" xr:uid="{00000000-0005-0000-0000-00004F000000}"/>
    <cellStyle name="20% - Accent4 2 6" xfId="81" xr:uid="{00000000-0005-0000-0000-000050000000}"/>
    <cellStyle name="20% - Accent4 3" xfId="82" xr:uid="{00000000-0005-0000-0000-000051000000}"/>
    <cellStyle name="20% - Accent4 3 2" xfId="83" xr:uid="{00000000-0005-0000-0000-000052000000}"/>
    <cellStyle name="20% - Accent4 4" xfId="84" xr:uid="{00000000-0005-0000-0000-000053000000}"/>
    <cellStyle name="20% - Accent4 5" xfId="85" xr:uid="{00000000-0005-0000-0000-000054000000}"/>
    <cellStyle name="20% - Accent4 5 2" xfId="86" xr:uid="{00000000-0005-0000-0000-000055000000}"/>
    <cellStyle name="20% - Accent4 5 3" xfId="87" xr:uid="{00000000-0005-0000-0000-000056000000}"/>
    <cellStyle name="20% - Accent4 5 4" xfId="88" xr:uid="{00000000-0005-0000-0000-000057000000}"/>
    <cellStyle name="20% - Accent4 6" xfId="89" xr:uid="{00000000-0005-0000-0000-000058000000}"/>
    <cellStyle name="20% - Accent4 7" xfId="90" xr:uid="{00000000-0005-0000-0000-000059000000}"/>
    <cellStyle name="20% - Accent4 8" xfId="91" xr:uid="{00000000-0005-0000-0000-00005A000000}"/>
    <cellStyle name="20% - Accent4 9" xfId="92" xr:uid="{00000000-0005-0000-0000-00005B000000}"/>
    <cellStyle name="20% - Accent5" xfId="93" builtinId="46" customBuiltin="1"/>
    <cellStyle name="20% - Accent5 10" xfId="94" xr:uid="{00000000-0005-0000-0000-00005D000000}"/>
    <cellStyle name="20% - Accent5 2" xfId="95" xr:uid="{00000000-0005-0000-0000-00005E000000}"/>
    <cellStyle name="20% - Accent5 2 2" xfId="96" xr:uid="{00000000-0005-0000-0000-00005F000000}"/>
    <cellStyle name="20% - Accent5 2 2 2" xfId="97" xr:uid="{00000000-0005-0000-0000-000060000000}"/>
    <cellStyle name="20% - Accent5 2 3" xfId="98" xr:uid="{00000000-0005-0000-0000-000061000000}"/>
    <cellStyle name="20% - Accent5 2 3 2" xfId="99" xr:uid="{00000000-0005-0000-0000-000062000000}"/>
    <cellStyle name="20% - Accent5 2 4" xfId="100" xr:uid="{00000000-0005-0000-0000-000063000000}"/>
    <cellStyle name="20% - Accent5 2 5" xfId="101" xr:uid="{00000000-0005-0000-0000-000064000000}"/>
    <cellStyle name="20% - Accent5 2 5 2" xfId="102" xr:uid="{00000000-0005-0000-0000-000065000000}"/>
    <cellStyle name="20% - Accent5 2 5 3" xfId="103" xr:uid="{00000000-0005-0000-0000-000066000000}"/>
    <cellStyle name="20% - Accent5 2 6" xfId="104" xr:uid="{00000000-0005-0000-0000-000067000000}"/>
    <cellStyle name="20% - Accent5 3" xfId="105" xr:uid="{00000000-0005-0000-0000-000068000000}"/>
    <cellStyle name="20% - Accent5 3 2" xfId="106" xr:uid="{00000000-0005-0000-0000-000069000000}"/>
    <cellStyle name="20% - Accent5 4" xfId="107" xr:uid="{00000000-0005-0000-0000-00006A000000}"/>
    <cellStyle name="20% - Accent5 5" xfId="108" xr:uid="{00000000-0005-0000-0000-00006B000000}"/>
    <cellStyle name="20% - Accent5 5 2" xfId="109" xr:uid="{00000000-0005-0000-0000-00006C000000}"/>
    <cellStyle name="20% - Accent5 5 3" xfId="110" xr:uid="{00000000-0005-0000-0000-00006D000000}"/>
    <cellStyle name="20% - Accent5 5 4" xfId="111" xr:uid="{00000000-0005-0000-0000-00006E000000}"/>
    <cellStyle name="20% - Accent5 6" xfId="112" xr:uid="{00000000-0005-0000-0000-00006F000000}"/>
    <cellStyle name="20% - Accent5 7" xfId="113" xr:uid="{00000000-0005-0000-0000-000070000000}"/>
    <cellStyle name="20% - Accent5 8" xfId="114" xr:uid="{00000000-0005-0000-0000-000071000000}"/>
    <cellStyle name="20% - Accent5 9" xfId="115" xr:uid="{00000000-0005-0000-0000-000072000000}"/>
    <cellStyle name="20% - Accent6" xfId="116" builtinId="50" customBuiltin="1"/>
    <cellStyle name="20% - Accent6 10" xfId="117" xr:uid="{00000000-0005-0000-0000-000074000000}"/>
    <cellStyle name="20% - Accent6 2" xfId="118" xr:uid="{00000000-0005-0000-0000-000075000000}"/>
    <cellStyle name="20% - Accent6 2 2" xfId="119" xr:uid="{00000000-0005-0000-0000-000076000000}"/>
    <cellStyle name="20% - Accent6 2 2 2" xfId="120" xr:uid="{00000000-0005-0000-0000-000077000000}"/>
    <cellStyle name="20% - Accent6 2 3" xfId="121" xr:uid="{00000000-0005-0000-0000-000078000000}"/>
    <cellStyle name="20% - Accent6 2 3 2" xfId="122" xr:uid="{00000000-0005-0000-0000-000079000000}"/>
    <cellStyle name="20% - Accent6 2 4" xfId="123" xr:uid="{00000000-0005-0000-0000-00007A000000}"/>
    <cellStyle name="20% - Accent6 2 5" xfId="124" xr:uid="{00000000-0005-0000-0000-00007B000000}"/>
    <cellStyle name="20% - Accent6 2 5 2" xfId="125" xr:uid="{00000000-0005-0000-0000-00007C000000}"/>
    <cellStyle name="20% - Accent6 2 5 3" xfId="126" xr:uid="{00000000-0005-0000-0000-00007D000000}"/>
    <cellStyle name="20% - Accent6 2 6" xfId="127" xr:uid="{00000000-0005-0000-0000-00007E000000}"/>
    <cellStyle name="20% - Accent6 3" xfId="128" xr:uid="{00000000-0005-0000-0000-00007F000000}"/>
    <cellStyle name="20% - Accent6 3 2" xfId="129" xr:uid="{00000000-0005-0000-0000-000080000000}"/>
    <cellStyle name="20% - Accent6 4" xfId="130" xr:uid="{00000000-0005-0000-0000-000081000000}"/>
    <cellStyle name="20% - Accent6 5" xfId="131" xr:uid="{00000000-0005-0000-0000-000082000000}"/>
    <cellStyle name="20% - Accent6 5 2" xfId="132" xr:uid="{00000000-0005-0000-0000-000083000000}"/>
    <cellStyle name="20% - Accent6 5 3" xfId="133" xr:uid="{00000000-0005-0000-0000-000084000000}"/>
    <cellStyle name="20% - Accent6 5 4" xfId="134" xr:uid="{00000000-0005-0000-0000-000085000000}"/>
    <cellStyle name="20% - Accent6 6" xfId="135" xr:uid="{00000000-0005-0000-0000-000086000000}"/>
    <cellStyle name="20% - Accent6 7" xfId="136" xr:uid="{00000000-0005-0000-0000-000087000000}"/>
    <cellStyle name="20% - Accent6 8" xfId="137" xr:uid="{00000000-0005-0000-0000-000088000000}"/>
    <cellStyle name="20% - Accent6 9" xfId="138" xr:uid="{00000000-0005-0000-0000-000089000000}"/>
    <cellStyle name="40% - Accent1" xfId="139" builtinId="31" customBuiltin="1"/>
    <cellStyle name="40% - Accent1 10" xfId="140" xr:uid="{00000000-0005-0000-0000-00008B000000}"/>
    <cellStyle name="40% - Accent1 2" xfId="141" xr:uid="{00000000-0005-0000-0000-00008C000000}"/>
    <cellStyle name="40% - Accent1 2 2" xfId="142" xr:uid="{00000000-0005-0000-0000-00008D000000}"/>
    <cellStyle name="40% - Accent1 2 2 2" xfId="143" xr:uid="{00000000-0005-0000-0000-00008E000000}"/>
    <cellStyle name="40% - Accent1 2 3" xfId="144" xr:uid="{00000000-0005-0000-0000-00008F000000}"/>
    <cellStyle name="40% - Accent1 2 3 2" xfId="145" xr:uid="{00000000-0005-0000-0000-000090000000}"/>
    <cellStyle name="40% - Accent1 2 4" xfId="146" xr:uid="{00000000-0005-0000-0000-000091000000}"/>
    <cellStyle name="40% - Accent1 2 5" xfId="147" xr:uid="{00000000-0005-0000-0000-000092000000}"/>
    <cellStyle name="40% - Accent1 2 5 2" xfId="148" xr:uid="{00000000-0005-0000-0000-000093000000}"/>
    <cellStyle name="40% - Accent1 2 5 3" xfId="149" xr:uid="{00000000-0005-0000-0000-000094000000}"/>
    <cellStyle name="40% - Accent1 2 6" xfId="150" xr:uid="{00000000-0005-0000-0000-000095000000}"/>
    <cellStyle name="40% - Accent1 3" xfId="151" xr:uid="{00000000-0005-0000-0000-000096000000}"/>
    <cellStyle name="40% - Accent1 3 2" xfId="152" xr:uid="{00000000-0005-0000-0000-000097000000}"/>
    <cellStyle name="40% - Accent1 4" xfId="153" xr:uid="{00000000-0005-0000-0000-000098000000}"/>
    <cellStyle name="40% - Accent1 5" xfId="154" xr:uid="{00000000-0005-0000-0000-000099000000}"/>
    <cellStyle name="40% - Accent1 5 2" xfId="155" xr:uid="{00000000-0005-0000-0000-00009A000000}"/>
    <cellStyle name="40% - Accent1 5 3" xfId="156" xr:uid="{00000000-0005-0000-0000-00009B000000}"/>
    <cellStyle name="40% - Accent1 5 4" xfId="157" xr:uid="{00000000-0005-0000-0000-00009C000000}"/>
    <cellStyle name="40% - Accent1 6" xfId="158" xr:uid="{00000000-0005-0000-0000-00009D000000}"/>
    <cellStyle name="40% - Accent1 7" xfId="159" xr:uid="{00000000-0005-0000-0000-00009E000000}"/>
    <cellStyle name="40% - Accent1 8" xfId="160" xr:uid="{00000000-0005-0000-0000-00009F000000}"/>
    <cellStyle name="40% - Accent1 9" xfId="161" xr:uid="{00000000-0005-0000-0000-0000A0000000}"/>
    <cellStyle name="40% - Accent2" xfId="162" builtinId="35" customBuiltin="1"/>
    <cellStyle name="40% - Accent2 10" xfId="163" xr:uid="{00000000-0005-0000-0000-0000A2000000}"/>
    <cellStyle name="40% - Accent2 2" xfId="164" xr:uid="{00000000-0005-0000-0000-0000A3000000}"/>
    <cellStyle name="40% - Accent2 2 2" xfId="165" xr:uid="{00000000-0005-0000-0000-0000A4000000}"/>
    <cellStyle name="40% - Accent2 2 2 2" xfId="166" xr:uid="{00000000-0005-0000-0000-0000A5000000}"/>
    <cellStyle name="40% - Accent2 2 3" xfId="167" xr:uid="{00000000-0005-0000-0000-0000A6000000}"/>
    <cellStyle name="40% - Accent2 2 3 2" xfId="168" xr:uid="{00000000-0005-0000-0000-0000A7000000}"/>
    <cellStyle name="40% - Accent2 2 4" xfId="169" xr:uid="{00000000-0005-0000-0000-0000A8000000}"/>
    <cellStyle name="40% - Accent2 2 5" xfId="170" xr:uid="{00000000-0005-0000-0000-0000A9000000}"/>
    <cellStyle name="40% - Accent2 2 5 2" xfId="171" xr:uid="{00000000-0005-0000-0000-0000AA000000}"/>
    <cellStyle name="40% - Accent2 2 5 3" xfId="172" xr:uid="{00000000-0005-0000-0000-0000AB000000}"/>
    <cellStyle name="40% - Accent2 2 6" xfId="173" xr:uid="{00000000-0005-0000-0000-0000AC000000}"/>
    <cellStyle name="40% - Accent2 3" xfId="174" xr:uid="{00000000-0005-0000-0000-0000AD000000}"/>
    <cellStyle name="40% - Accent2 3 2" xfId="175" xr:uid="{00000000-0005-0000-0000-0000AE000000}"/>
    <cellStyle name="40% - Accent2 4" xfId="176" xr:uid="{00000000-0005-0000-0000-0000AF000000}"/>
    <cellStyle name="40% - Accent2 5" xfId="177" xr:uid="{00000000-0005-0000-0000-0000B0000000}"/>
    <cellStyle name="40% - Accent2 5 2" xfId="178" xr:uid="{00000000-0005-0000-0000-0000B1000000}"/>
    <cellStyle name="40% - Accent2 5 3" xfId="179" xr:uid="{00000000-0005-0000-0000-0000B2000000}"/>
    <cellStyle name="40% - Accent2 5 4" xfId="180" xr:uid="{00000000-0005-0000-0000-0000B3000000}"/>
    <cellStyle name="40% - Accent2 6" xfId="181" xr:uid="{00000000-0005-0000-0000-0000B4000000}"/>
    <cellStyle name="40% - Accent2 7" xfId="182" xr:uid="{00000000-0005-0000-0000-0000B5000000}"/>
    <cellStyle name="40% - Accent2 8" xfId="183" xr:uid="{00000000-0005-0000-0000-0000B6000000}"/>
    <cellStyle name="40% - Accent2 9" xfId="184" xr:uid="{00000000-0005-0000-0000-0000B7000000}"/>
    <cellStyle name="40% - Accent3" xfId="185" builtinId="39" customBuiltin="1"/>
    <cellStyle name="40% - Accent3 10" xfId="186" xr:uid="{00000000-0005-0000-0000-0000B9000000}"/>
    <cellStyle name="40% - Accent3 2" xfId="187" xr:uid="{00000000-0005-0000-0000-0000BA000000}"/>
    <cellStyle name="40% - Accent3 2 2" xfId="188" xr:uid="{00000000-0005-0000-0000-0000BB000000}"/>
    <cellStyle name="40% - Accent3 2 2 2" xfId="189" xr:uid="{00000000-0005-0000-0000-0000BC000000}"/>
    <cellStyle name="40% - Accent3 2 3" xfId="190" xr:uid="{00000000-0005-0000-0000-0000BD000000}"/>
    <cellStyle name="40% - Accent3 2 3 2" xfId="191" xr:uid="{00000000-0005-0000-0000-0000BE000000}"/>
    <cellStyle name="40% - Accent3 2 4" xfId="192" xr:uid="{00000000-0005-0000-0000-0000BF000000}"/>
    <cellStyle name="40% - Accent3 2 5" xfId="193" xr:uid="{00000000-0005-0000-0000-0000C0000000}"/>
    <cellStyle name="40% - Accent3 2 5 2" xfId="194" xr:uid="{00000000-0005-0000-0000-0000C1000000}"/>
    <cellStyle name="40% - Accent3 2 5 3" xfId="195" xr:uid="{00000000-0005-0000-0000-0000C2000000}"/>
    <cellStyle name="40% - Accent3 2 6" xfId="196" xr:uid="{00000000-0005-0000-0000-0000C3000000}"/>
    <cellStyle name="40% - Accent3 3" xfId="197" xr:uid="{00000000-0005-0000-0000-0000C4000000}"/>
    <cellStyle name="40% - Accent3 3 2" xfId="198" xr:uid="{00000000-0005-0000-0000-0000C5000000}"/>
    <cellStyle name="40% - Accent3 4" xfId="199" xr:uid="{00000000-0005-0000-0000-0000C6000000}"/>
    <cellStyle name="40% - Accent3 5" xfId="200" xr:uid="{00000000-0005-0000-0000-0000C7000000}"/>
    <cellStyle name="40% - Accent3 5 2" xfId="201" xr:uid="{00000000-0005-0000-0000-0000C8000000}"/>
    <cellStyle name="40% - Accent3 5 3" xfId="202" xr:uid="{00000000-0005-0000-0000-0000C9000000}"/>
    <cellStyle name="40% - Accent3 5 4" xfId="203" xr:uid="{00000000-0005-0000-0000-0000CA000000}"/>
    <cellStyle name="40% - Accent3 6" xfId="204" xr:uid="{00000000-0005-0000-0000-0000CB000000}"/>
    <cellStyle name="40% - Accent3 7" xfId="205" xr:uid="{00000000-0005-0000-0000-0000CC000000}"/>
    <cellStyle name="40% - Accent3 8" xfId="206" xr:uid="{00000000-0005-0000-0000-0000CD000000}"/>
    <cellStyle name="40% - Accent3 9" xfId="207" xr:uid="{00000000-0005-0000-0000-0000CE000000}"/>
    <cellStyle name="40% - Accent4" xfId="208" builtinId="43" customBuiltin="1"/>
    <cellStyle name="40% - Accent4 10" xfId="209" xr:uid="{00000000-0005-0000-0000-0000D0000000}"/>
    <cellStyle name="40% - Accent4 2" xfId="210" xr:uid="{00000000-0005-0000-0000-0000D1000000}"/>
    <cellStyle name="40% - Accent4 2 2" xfId="211" xr:uid="{00000000-0005-0000-0000-0000D2000000}"/>
    <cellStyle name="40% - Accent4 2 2 2" xfId="212" xr:uid="{00000000-0005-0000-0000-0000D3000000}"/>
    <cellStyle name="40% - Accent4 2 3" xfId="213" xr:uid="{00000000-0005-0000-0000-0000D4000000}"/>
    <cellStyle name="40% - Accent4 2 3 2" xfId="214" xr:uid="{00000000-0005-0000-0000-0000D5000000}"/>
    <cellStyle name="40% - Accent4 2 4" xfId="215" xr:uid="{00000000-0005-0000-0000-0000D6000000}"/>
    <cellStyle name="40% - Accent4 2 5" xfId="216" xr:uid="{00000000-0005-0000-0000-0000D7000000}"/>
    <cellStyle name="40% - Accent4 2 5 2" xfId="217" xr:uid="{00000000-0005-0000-0000-0000D8000000}"/>
    <cellStyle name="40% - Accent4 2 5 3" xfId="218" xr:uid="{00000000-0005-0000-0000-0000D9000000}"/>
    <cellStyle name="40% - Accent4 2 6" xfId="219" xr:uid="{00000000-0005-0000-0000-0000DA000000}"/>
    <cellStyle name="40% - Accent4 3" xfId="220" xr:uid="{00000000-0005-0000-0000-0000DB000000}"/>
    <cellStyle name="40% - Accent4 3 2" xfId="221" xr:uid="{00000000-0005-0000-0000-0000DC000000}"/>
    <cellStyle name="40% - Accent4 4" xfId="222" xr:uid="{00000000-0005-0000-0000-0000DD000000}"/>
    <cellStyle name="40% - Accent4 5" xfId="223" xr:uid="{00000000-0005-0000-0000-0000DE000000}"/>
    <cellStyle name="40% - Accent4 5 2" xfId="224" xr:uid="{00000000-0005-0000-0000-0000DF000000}"/>
    <cellStyle name="40% - Accent4 5 3" xfId="225" xr:uid="{00000000-0005-0000-0000-0000E0000000}"/>
    <cellStyle name="40% - Accent4 5 4" xfId="226" xr:uid="{00000000-0005-0000-0000-0000E1000000}"/>
    <cellStyle name="40% - Accent4 6" xfId="227" xr:uid="{00000000-0005-0000-0000-0000E2000000}"/>
    <cellStyle name="40% - Accent4 7" xfId="228" xr:uid="{00000000-0005-0000-0000-0000E3000000}"/>
    <cellStyle name="40% - Accent4 8" xfId="229" xr:uid="{00000000-0005-0000-0000-0000E4000000}"/>
    <cellStyle name="40% - Accent4 9" xfId="230" xr:uid="{00000000-0005-0000-0000-0000E5000000}"/>
    <cellStyle name="40% - Accent5" xfId="231" builtinId="47" customBuiltin="1"/>
    <cellStyle name="40% - Accent5 10" xfId="232" xr:uid="{00000000-0005-0000-0000-0000E7000000}"/>
    <cellStyle name="40% - Accent5 2" xfId="233" xr:uid="{00000000-0005-0000-0000-0000E8000000}"/>
    <cellStyle name="40% - Accent5 2 2" xfId="234" xr:uid="{00000000-0005-0000-0000-0000E9000000}"/>
    <cellStyle name="40% - Accent5 2 2 2" xfId="235" xr:uid="{00000000-0005-0000-0000-0000EA000000}"/>
    <cellStyle name="40% - Accent5 2 3" xfId="236" xr:uid="{00000000-0005-0000-0000-0000EB000000}"/>
    <cellStyle name="40% - Accent5 2 3 2" xfId="237" xr:uid="{00000000-0005-0000-0000-0000EC000000}"/>
    <cellStyle name="40% - Accent5 2 4" xfId="238" xr:uid="{00000000-0005-0000-0000-0000ED000000}"/>
    <cellStyle name="40% - Accent5 2 5" xfId="239" xr:uid="{00000000-0005-0000-0000-0000EE000000}"/>
    <cellStyle name="40% - Accent5 2 5 2" xfId="240" xr:uid="{00000000-0005-0000-0000-0000EF000000}"/>
    <cellStyle name="40% - Accent5 2 5 3" xfId="241" xr:uid="{00000000-0005-0000-0000-0000F0000000}"/>
    <cellStyle name="40% - Accent5 2 6" xfId="242" xr:uid="{00000000-0005-0000-0000-0000F1000000}"/>
    <cellStyle name="40% - Accent5 3" xfId="243" xr:uid="{00000000-0005-0000-0000-0000F2000000}"/>
    <cellStyle name="40% - Accent5 3 2" xfId="244" xr:uid="{00000000-0005-0000-0000-0000F3000000}"/>
    <cellStyle name="40% - Accent5 4" xfId="245" xr:uid="{00000000-0005-0000-0000-0000F4000000}"/>
    <cellStyle name="40% - Accent5 5" xfId="246" xr:uid="{00000000-0005-0000-0000-0000F5000000}"/>
    <cellStyle name="40% - Accent5 5 2" xfId="247" xr:uid="{00000000-0005-0000-0000-0000F6000000}"/>
    <cellStyle name="40% - Accent5 5 3" xfId="248" xr:uid="{00000000-0005-0000-0000-0000F7000000}"/>
    <cellStyle name="40% - Accent5 5 4" xfId="249" xr:uid="{00000000-0005-0000-0000-0000F8000000}"/>
    <cellStyle name="40% - Accent5 6" xfId="250" xr:uid="{00000000-0005-0000-0000-0000F9000000}"/>
    <cellStyle name="40% - Accent5 7" xfId="251" xr:uid="{00000000-0005-0000-0000-0000FA000000}"/>
    <cellStyle name="40% - Accent5 8" xfId="252" xr:uid="{00000000-0005-0000-0000-0000FB000000}"/>
    <cellStyle name="40% - Accent5 9" xfId="253" xr:uid="{00000000-0005-0000-0000-0000FC000000}"/>
    <cellStyle name="40% - Accent6" xfId="254" builtinId="51" customBuiltin="1"/>
    <cellStyle name="40% - Accent6 10" xfId="255" xr:uid="{00000000-0005-0000-0000-0000FE000000}"/>
    <cellStyle name="40% - Accent6 2" xfId="256" xr:uid="{00000000-0005-0000-0000-0000FF000000}"/>
    <cellStyle name="40% - Accent6 2 2" xfId="257" xr:uid="{00000000-0005-0000-0000-000000010000}"/>
    <cellStyle name="40% - Accent6 2 2 2" xfId="258" xr:uid="{00000000-0005-0000-0000-000001010000}"/>
    <cellStyle name="40% - Accent6 2 3" xfId="259" xr:uid="{00000000-0005-0000-0000-000002010000}"/>
    <cellStyle name="40% - Accent6 2 3 2" xfId="260" xr:uid="{00000000-0005-0000-0000-000003010000}"/>
    <cellStyle name="40% - Accent6 2 4" xfId="261" xr:uid="{00000000-0005-0000-0000-000004010000}"/>
    <cellStyle name="40% - Accent6 2 5" xfId="262" xr:uid="{00000000-0005-0000-0000-000005010000}"/>
    <cellStyle name="40% - Accent6 2 5 2" xfId="263" xr:uid="{00000000-0005-0000-0000-000006010000}"/>
    <cellStyle name="40% - Accent6 2 5 3" xfId="264" xr:uid="{00000000-0005-0000-0000-000007010000}"/>
    <cellStyle name="40% - Accent6 2 6" xfId="265" xr:uid="{00000000-0005-0000-0000-000008010000}"/>
    <cellStyle name="40% - Accent6 3" xfId="266" xr:uid="{00000000-0005-0000-0000-000009010000}"/>
    <cellStyle name="40% - Accent6 3 2" xfId="267" xr:uid="{00000000-0005-0000-0000-00000A010000}"/>
    <cellStyle name="40% - Accent6 4" xfId="268" xr:uid="{00000000-0005-0000-0000-00000B010000}"/>
    <cellStyle name="40% - Accent6 5" xfId="269" xr:uid="{00000000-0005-0000-0000-00000C010000}"/>
    <cellStyle name="40% - Accent6 5 2" xfId="270" xr:uid="{00000000-0005-0000-0000-00000D010000}"/>
    <cellStyle name="40% - Accent6 5 3" xfId="271" xr:uid="{00000000-0005-0000-0000-00000E010000}"/>
    <cellStyle name="40% - Accent6 5 4" xfId="272" xr:uid="{00000000-0005-0000-0000-00000F010000}"/>
    <cellStyle name="40% - Accent6 6" xfId="273" xr:uid="{00000000-0005-0000-0000-000010010000}"/>
    <cellStyle name="40% - Accent6 7" xfId="274" xr:uid="{00000000-0005-0000-0000-000011010000}"/>
    <cellStyle name="40% - Accent6 8" xfId="275" xr:uid="{00000000-0005-0000-0000-000012010000}"/>
    <cellStyle name="40% - Accent6 9" xfId="276" xr:uid="{00000000-0005-0000-0000-000013010000}"/>
    <cellStyle name="60% - Accent1" xfId="277" builtinId="32" customBuiltin="1"/>
    <cellStyle name="60% - Accent1 10" xfId="278" xr:uid="{00000000-0005-0000-0000-000015010000}"/>
    <cellStyle name="60% - Accent1 2" xfId="279" xr:uid="{00000000-0005-0000-0000-000016010000}"/>
    <cellStyle name="60% - Accent1 2 2" xfId="280" xr:uid="{00000000-0005-0000-0000-000017010000}"/>
    <cellStyle name="60% - Accent1 2 3" xfId="281" xr:uid="{00000000-0005-0000-0000-000018010000}"/>
    <cellStyle name="60% - Accent1 2 4" xfId="282" xr:uid="{00000000-0005-0000-0000-000019010000}"/>
    <cellStyle name="60% - Accent1 2 5" xfId="283" xr:uid="{00000000-0005-0000-0000-00001A010000}"/>
    <cellStyle name="60% - Accent1 3" xfId="284" xr:uid="{00000000-0005-0000-0000-00001B010000}"/>
    <cellStyle name="60% - Accent1 4" xfId="285" xr:uid="{00000000-0005-0000-0000-00001C010000}"/>
    <cellStyle name="60% - Accent1 5" xfId="286" xr:uid="{00000000-0005-0000-0000-00001D010000}"/>
    <cellStyle name="60% - Accent1 5 2" xfId="287" xr:uid="{00000000-0005-0000-0000-00001E010000}"/>
    <cellStyle name="60% - Accent1 5 3" xfId="288" xr:uid="{00000000-0005-0000-0000-00001F010000}"/>
    <cellStyle name="60% - Accent1 5 4" xfId="289" xr:uid="{00000000-0005-0000-0000-000020010000}"/>
    <cellStyle name="60% - Accent1 6" xfId="290" xr:uid="{00000000-0005-0000-0000-000021010000}"/>
    <cellStyle name="60% - Accent1 7" xfId="291" xr:uid="{00000000-0005-0000-0000-000022010000}"/>
    <cellStyle name="60% - Accent1 8" xfId="292" xr:uid="{00000000-0005-0000-0000-000023010000}"/>
    <cellStyle name="60% - Accent1 9" xfId="293" xr:uid="{00000000-0005-0000-0000-000024010000}"/>
    <cellStyle name="60% - Accent2" xfId="294" builtinId="36" customBuiltin="1"/>
    <cellStyle name="60% - Accent2 10" xfId="295" xr:uid="{00000000-0005-0000-0000-000026010000}"/>
    <cellStyle name="60% - Accent2 2" xfId="296" xr:uid="{00000000-0005-0000-0000-000027010000}"/>
    <cellStyle name="60% - Accent2 2 2" xfId="297" xr:uid="{00000000-0005-0000-0000-000028010000}"/>
    <cellStyle name="60% - Accent2 2 3" xfId="298" xr:uid="{00000000-0005-0000-0000-000029010000}"/>
    <cellStyle name="60% - Accent2 2 4" xfId="299" xr:uid="{00000000-0005-0000-0000-00002A010000}"/>
    <cellStyle name="60% - Accent2 2 5" xfId="300" xr:uid="{00000000-0005-0000-0000-00002B010000}"/>
    <cellStyle name="60% - Accent2 3" xfId="301" xr:uid="{00000000-0005-0000-0000-00002C010000}"/>
    <cellStyle name="60% - Accent2 4" xfId="302" xr:uid="{00000000-0005-0000-0000-00002D010000}"/>
    <cellStyle name="60% - Accent2 5" xfId="303" xr:uid="{00000000-0005-0000-0000-00002E010000}"/>
    <cellStyle name="60% - Accent2 5 2" xfId="304" xr:uid="{00000000-0005-0000-0000-00002F010000}"/>
    <cellStyle name="60% - Accent2 5 3" xfId="305" xr:uid="{00000000-0005-0000-0000-000030010000}"/>
    <cellStyle name="60% - Accent2 5 4" xfId="306" xr:uid="{00000000-0005-0000-0000-000031010000}"/>
    <cellStyle name="60% - Accent2 6" xfId="307" xr:uid="{00000000-0005-0000-0000-000032010000}"/>
    <cellStyle name="60% - Accent2 7" xfId="308" xr:uid="{00000000-0005-0000-0000-000033010000}"/>
    <cellStyle name="60% - Accent2 8" xfId="309" xr:uid="{00000000-0005-0000-0000-000034010000}"/>
    <cellStyle name="60% - Accent2 9" xfId="310" xr:uid="{00000000-0005-0000-0000-000035010000}"/>
    <cellStyle name="60% - Accent3" xfId="311" builtinId="40" customBuiltin="1"/>
    <cellStyle name="60% - Accent3 10" xfId="312" xr:uid="{00000000-0005-0000-0000-000037010000}"/>
    <cellStyle name="60% - Accent3 2" xfId="313" xr:uid="{00000000-0005-0000-0000-000038010000}"/>
    <cellStyle name="60% - Accent3 2 2" xfId="314" xr:uid="{00000000-0005-0000-0000-000039010000}"/>
    <cellStyle name="60% - Accent3 2 3" xfId="315" xr:uid="{00000000-0005-0000-0000-00003A010000}"/>
    <cellStyle name="60% - Accent3 2 4" xfId="316" xr:uid="{00000000-0005-0000-0000-00003B010000}"/>
    <cellStyle name="60% - Accent3 2 5" xfId="317" xr:uid="{00000000-0005-0000-0000-00003C010000}"/>
    <cellStyle name="60% - Accent3 3" xfId="318" xr:uid="{00000000-0005-0000-0000-00003D010000}"/>
    <cellStyle name="60% - Accent3 4" xfId="319" xr:uid="{00000000-0005-0000-0000-00003E010000}"/>
    <cellStyle name="60% - Accent3 5" xfId="320" xr:uid="{00000000-0005-0000-0000-00003F010000}"/>
    <cellStyle name="60% - Accent3 5 2" xfId="321" xr:uid="{00000000-0005-0000-0000-000040010000}"/>
    <cellStyle name="60% - Accent3 5 3" xfId="322" xr:uid="{00000000-0005-0000-0000-000041010000}"/>
    <cellStyle name="60% - Accent3 5 4" xfId="323" xr:uid="{00000000-0005-0000-0000-000042010000}"/>
    <cellStyle name="60% - Accent3 6" xfId="324" xr:uid="{00000000-0005-0000-0000-000043010000}"/>
    <cellStyle name="60% - Accent3 7" xfId="325" xr:uid="{00000000-0005-0000-0000-000044010000}"/>
    <cellStyle name="60% - Accent3 8" xfId="326" xr:uid="{00000000-0005-0000-0000-000045010000}"/>
    <cellStyle name="60% - Accent3 9" xfId="327" xr:uid="{00000000-0005-0000-0000-000046010000}"/>
    <cellStyle name="60% - Accent4" xfId="328" builtinId="44" customBuiltin="1"/>
    <cellStyle name="60% - Accent4 10" xfId="329" xr:uid="{00000000-0005-0000-0000-000048010000}"/>
    <cellStyle name="60% - Accent4 2" xfId="330" xr:uid="{00000000-0005-0000-0000-000049010000}"/>
    <cellStyle name="60% - Accent4 2 2" xfId="331" xr:uid="{00000000-0005-0000-0000-00004A010000}"/>
    <cellStyle name="60% - Accent4 2 3" xfId="332" xr:uid="{00000000-0005-0000-0000-00004B010000}"/>
    <cellStyle name="60% - Accent4 2 4" xfId="333" xr:uid="{00000000-0005-0000-0000-00004C010000}"/>
    <cellStyle name="60% - Accent4 2 5" xfId="334" xr:uid="{00000000-0005-0000-0000-00004D010000}"/>
    <cellStyle name="60% - Accent4 3" xfId="335" xr:uid="{00000000-0005-0000-0000-00004E010000}"/>
    <cellStyle name="60% - Accent4 4" xfId="336" xr:uid="{00000000-0005-0000-0000-00004F010000}"/>
    <cellStyle name="60% - Accent4 5" xfId="337" xr:uid="{00000000-0005-0000-0000-000050010000}"/>
    <cellStyle name="60% - Accent4 5 2" xfId="338" xr:uid="{00000000-0005-0000-0000-000051010000}"/>
    <cellStyle name="60% - Accent4 5 3" xfId="339" xr:uid="{00000000-0005-0000-0000-000052010000}"/>
    <cellStyle name="60% - Accent4 5 4" xfId="340" xr:uid="{00000000-0005-0000-0000-000053010000}"/>
    <cellStyle name="60% - Accent4 6" xfId="341" xr:uid="{00000000-0005-0000-0000-000054010000}"/>
    <cellStyle name="60% - Accent4 7" xfId="342" xr:uid="{00000000-0005-0000-0000-000055010000}"/>
    <cellStyle name="60% - Accent4 8" xfId="343" xr:uid="{00000000-0005-0000-0000-000056010000}"/>
    <cellStyle name="60% - Accent4 9" xfId="344" xr:uid="{00000000-0005-0000-0000-000057010000}"/>
    <cellStyle name="60% - Accent5" xfId="345" builtinId="48" customBuiltin="1"/>
    <cellStyle name="60% - Accent5 10" xfId="346" xr:uid="{00000000-0005-0000-0000-000059010000}"/>
    <cellStyle name="60% - Accent5 2" xfId="347" xr:uid="{00000000-0005-0000-0000-00005A010000}"/>
    <cellStyle name="60% - Accent5 2 2" xfId="348" xr:uid="{00000000-0005-0000-0000-00005B010000}"/>
    <cellStyle name="60% - Accent5 2 3" xfId="349" xr:uid="{00000000-0005-0000-0000-00005C010000}"/>
    <cellStyle name="60% - Accent5 2 4" xfId="350" xr:uid="{00000000-0005-0000-0000-00005D010000}"/>
    <cellStyle name="60% - Accent5 2 5" xfId="351" xr:uid="{00000000-0005-0000-0000-00005E010000}"/>
    <cellStyle name="60% - Accent5 3" xfId="352" xr:uid="{00000000-0005-0000-0000-00005F010000}"/>
    <cellStyle name="60% - Accent5 4" xfId="353" xr:uid="{00000000-0005-0000-0000-000060010000}"/>
    <cellStyle name="60% - Accent5 5" xfId="354" xr:uid="{00000000-0005-0000-0000-000061010000}"/>
    <cellStyle name="60% - Accent5 5 2" xfId="355" xr:uid="{00000000-0005-0000-0000-000062010000}"/>
    <cellStyle name="60% - Accent5 5 3" xfId="356" xr:uid="{00000000-0005-0000-0000-000063010000}"/>
    <cellStyle name="60% - Accent5 5 4" xfId="357" xr:uid="{00000000-0005-0000-0000-000064010000}"/>
    <cellStyle name="60% - Accent5 6" xfId="358" xr:uid="{00000000-0005-0000-0000-000065010000}"/>
    <cellStyle name="60% - Accent5 7" xfId="359" xr:uid="{00000000-0005-0000-0000-000066010000}"/>
    <cellStyle name="60% - Accent5 8" xfId="360" xr:uid="{00000000-0005-0000-0000-000067010000}"/>
    <cellStyle name="60% - Accent5 9" xfId="361" xr:uid="{00000000-0005-0000-0000-000068010000}"/>
    <cellStyle name="60% - Accent6" xfId="362" builtinId="52" customBuiltin="1"/>
    <cellStyle name="60% - Accent6 10" xfId="363" xr:uid="{00000000-0005-0000-0000-00006A010000}"/>
    <cellStyle name="60% - Accent6 2" xfId="364" xr:uid="{00000000-0005-0000-0000-00006B010000}"/>
    <cellStyle name="60% - Accent6 2 2" xfId="365" xr:uid="{00000000-0005-0000-0000-00006C010000}"/>
    <cellStyle name="60% - Accent6 2 3" xfId="366" xr:uid="{00000000-0005-0000-0000-00006D010000}"/>
    <cellStyle name="60% - Accent6 2 4" xfId="367" xr:uid="{00000000-0005-0000-0000-00006E010000}"/>
    <cellStyle name="60% - Accent6 2 5" xfId="368" xr:uid="{00000000-0005-0000-0000-00006F010000}"/>
    <cellStyle name="60% - Accent6 3" xfId="369" xr:uid="{00000000-0005-0000-0000-000070010000}"/>
    <cellStyle name="60% - Accent6 4" xfId="370" xr:uid="{00000000-0005-0000-0000-000071010000}"/>
    <cellStyle name="60% - Accent6 5" xfId="371" xr:uid="{00000000-0005-0000-0000-000072010000}"/>
    <cellStyle name="60% - Accent6 5 2" xfId="372" xr:uid="{00000000-0005-0000-0000-000073010000}"/>
    <cellStyle name="60% - Accent6 5 3" xfId="373" xr:uid="{00000000-0005-0000-0000-000074010000}"/>
    <cellStyle name="60% - Accent6 5 4" xfId="374" xr:uid="{00000000-0005-0000-0000-000075010000}"/>
    <cellStyle name="60% - Accent6 6" xfId="375" xr:uid="{00000000-0005-0000-0000-000076010000}"/>
    <cellStyle name="60% - Accent6 7" xfId="376" xr:uid="{00000000-0005-0000-0000-000077010000}"/>
    <cellStyle name="60% - Accent6 8" xfId="377" xr:uid="{00000000-0005-0000-0000-000078010000}"/>
    <cellStyle name="60% - Accent6 9" xfId="378" xr:uid="{00000000-0005-0000-0000-000079010000}"/>
    <cellStyle name="Accent1" xfId="379" builtinId="29" customBuiltin="1"/>
    <cellStyle name="Accent1 10" xfId="380" xr:uid="{00000000-0005-0000-0000-00007B010000}"/>
    <cellStyle name="Accent1 2" xfId="381" xr:uid="{00000000-0005-0000-0000-00007C010000}"/>
    <cellStyle name="Accent1 2 2" xfId="382" xr:uid="{00000000-0005-0000-0000-00007D010000}"/>
    <cellStyle name="Accent1 2 3" xfId="383" xr:uid="{00000000-0005-0000-0000-00007E010000}"/>
    <cellStyle name="Accent1 2 4" xfId="384" xr:uid="{00000000-0005-0000-0000-00007F010000}"/>
    <cellStyle name="Accent1 2 5" xfId="385" xr:uid="{00000000-0005-0000-0000-000080010000}"/>
    <cellStyle name="Accent1 3" xfId="386" xr:uid="{00000000-0005-0000-0000-000081010000}"/>
    <cellStyle name="Accent1 4" xfId="387" xr:uid="{00000000-0005-0000-0000-000082010000}"/>
    <cellStyle name="Accent1 5" xfId="388" xr:uid="{00000000-0005-0000-0000-000083010000}"/>
    <cellStyle name="Accent1 5 2" xfId="389" xr:uid="{00000000-0005-0000-0000-000084010000}"/>
    <cellStyle name="Accent1 5 3" xfId="390" xr:uid="{00000000-0005-0000-0000-000085010000}"/>
    <cellStyle name="Accent1 5 4" xfId="391" xr:uid="{00000000-0005-0000-0000-000086010000}"/>
    <cellStyle name="Accent1 6" xfId="392" xr:uid="{00000000-0005-0000-0000-000087010000}"/>
    <cellStyle name="Accent1 7" xfId="393" xr:uid="{00000000-0005-0000-0000-000088010000}"/>
    <cellStyle name="Accent1 8" xfId="394" xr:uid="{00000000-0005-0000-0000-000089010000}"/>
    <cellStyle name="Accent1 9" xfId="395" xr:uid="{00000000-0005-0000-0000-00008A010000}"/>
    <cellStyle name="Accent2" xfId="396" builtinId="33" customBuiltin="1"/>
    <cellStyle name="Accent2 10" xfId="397" xr:uid="{00000000-0005-0000-0000-00008C010000}"/>
    <cellStyle name="Accent2 2" xfId="398" xr:uid="{00000000-0005-0000-0000-00008D010000}"/>
    <cellStyle name="Accent2 2 2" xfId="399" xr:uid="{00000000-0005-0000-0000-00008E010000}"/>
    <cellStyle name="Accent2 2 3" xfId="400" xr:uid="{00000000-0005-0000-0000-00008F010000}"/>
    <cellStyle name="Accent2 2 4" xfId="401" xr:uid="{00000000-0005-0000-0000-000090010000}"/>
    <cellStyle name="Accent2 2 5" xfId="402" xr:uid="{00000000-0005-0000-0000-000091010000}"/>
    <cellStyle name="Accent2 3" xfId="403" xr:uid="{00000000-0005-0000-0000-000092010000}"/>
    <cellStyle name="Accent2 4" xfId="404" xr:uid="{00000000-0005-0000-0000-000093010000}"/>
    <cellStyle name="Accent2 5" xfId="405" xr:uid="{00000000-0005-0000-0000-000094010000}"/>
    <cellStyle name="Accent2 5 2" xfId="406" xr:uid="{00000000-0005-0000-0000-000095010000}"/>
    <cellStyle name="Accent2 5 3" xfId="407" xr:uid="{00000000-0005-0000-0000-000096010000}"/>
    <cellStyle name="Accent2 5 4" xfId="408" xr:uid="{00000000-0005-0000-0000-000097010000}"/>
    <cellStyle name="Accent2 6" xfId="409" xr:uid="{00000000-0005-0000-0000-000098010000}"/>
    <cellStyle name="Accent2 7" xfId="410" xr:uid="{00000000-0005-0000-0000-000099010000}"/>
    <cellStyle name="Accent2 8" xfId="411" xr:uid="{00000000-0005-0000-0000-00009A010000}"/>
    <cellStyle name="Accent2 9" xfId="412" xr:uid="{00000000-0005-0000-0000-00009B010000}"/>
    <cellStyle name="Accent3" xfId="413" builtinId="37" customBuiltin="1"/>
    <cellStyle name="Accent3 10" xfId="414" xr:uid="{00000000-0005-0000-0000-00009D010000}"/>
    <cellStyle name="Accent3 2" xfId="415" xr:uid="{00000000-0005-0000-0000-00009E010000}"/>
    <cellStyle name="Accent3 2 2" xfId="416" xr:uid="{00000000-0005-0000-0000-00009F010000}"/>
    <cellStyle name="Accent3 2 3" xfId="417" xr:uid="{00000000-0005-0000-0000-0000A0010000}"/>
    <cellStyle name="Accent3 2 4" xfId="418" xr:uid="{00000000-0005-0000-0000-0000A1010000}"/>
    <cellStyle name="Accent3 2 5" xfId="419" xr:uid="{00000000-0005-0000-0000-0000A2010000}"/>
    <cellStyle name="Accent3 3" xfId="420" xr:uid="{00000000-0005-0000-0000-0000A3010000}"/>
    <cellStyle name="Accent3 4" xfId="421" xr:uid="{00000000-0005-0000-0000-0000A4010000}"/>
    <cellStyle name="Accent3 5" xfId="422" xr:uid="{00000000-0005-0000-0000-0000A5010000}"/>
    <cellStyle name="Accent3 5 2" xfId="423" xr:uid="{00000000-0005-0000-0000-0000A6010000}"/>
    <cellStyle name="Accent3 5 3" xfId="424" xr:uid="{00000000-0005-0000-0000-0000A7010000}"/>
    <cellStyle name="Accent3 5 4" xfId="425" xr:uid="{00000000-0005-0000-0000-0000A8010000}"/>
    <cellStyle name="Accent3 6" xfId="426" xr:uid="{00000000-0005-0000-0000-0000A9010000}"/>
    <cellStyle name="Accent3 7" xfId="427" xr:uid="{00000000-0005-0000-0000-0000AA010000}"/>
    <cellStyle name="Accent3 8" xfId="428" xr:uid="{00000000-0005-0000-0000-0000AB010000}"/>
    <cellStyle name="Accent3 9" xfId="429" xr:uid="{00000000-0005-0000-0000-0000AC010000}"/>
    <cellStyle name="Accent4" xfId="430" builtinId="41" customBuiltin="1"/>
    <cellStyle name="Accent4 10" xfId="431" xr:uid="{00000000-0005-0000-0000-0000AE010000}"/>
    <cellStyle name="Accent4 2" xfId="432" xr:uid="{00000000-0005-0000-0000-0000AF010000}"/>
    <cellStyle name="Accent4 2 2" xfId="433" xr:uid="{00000000-0005-0000-0000-0000B0010000}"/>
    <cellStyle name="Accent4 2 3" xfId="434" xr:uid="{00000000-0005-0000-0000-0000B1010000}"/>
    <cellStyle name="Accent4 2 4" xfId="435" xr:uid="{00000000-0005-0000-0000-0000B2010000}"/>
    <cellStyle name="Accent4 2 5" xfId="436" xr:uid="{00000000-0005-0000-0000-0000B3010000}"/>
    <cellStyle name="Accent4 3" xfId="437" xr:uid="{00000000-0005-0000-0000-0000B4010000}"/>
    <cellStyle name="Accent4 4" xfId="438" xr:uid="{00000000-0005-0000-0000-0000B5010000}"/>
    <cellStyle name="Accent4 5" xfId="439" xr:uid="{00000000-0005-0000-0000-0000B6010000}"/>
    <cellStyle name="Accent4 5 2" xfId="440" xr:uid="{00000000-0005-0000-0000-0000B7010000}"/>
    <cellStyle name="Accent4 5 3" xfId="441" xr:uid="{00000000-0005-0000-0000-0000B8010000}"/>
    <cellStyle name="Accent4 5 4" xfId="442" xr:uid="{00000000-0005-0000-0000-0000B9010000}"/>
    <cellStyle name="Accent4 6" xfId="443" xr:uid="{00000000-0005-0000-0000-0000BA010000}"/>
    <cellStyle name="Accent4 7" xfId="444" xr:uid="{00000000-0005-0000-0000-0000BB010000}"/>
    <cellStyle name="Accent4 8" xfId="445" xr:uid="{00000000-0005-0000-0000-0000BC010000}"/>
    <cellStyle name="Accent4 9" xfId="446" xr:uid="{00000000-0005-0000-0000-0000BD010000}"/>
    <cellStyle name="Accent5" xfId="447" builtinId="45" customBuiltin="1"/>
    <cellStyle name="Accent5 10" xfId="448" xr:uid="{00000000-0005-0000-0000-0000BF010000}"/>
    <cellStyle name="Accent5 2" xfId="449" xr:uid="{00000000-0005-0000-0000-0000C0010000}"/>
    <cellStyle name="Accent5 2 2" xfId="450" xr:uid="{00000000-0005-0000-0000-0000C1010000}"/>
    <cellStyle name="Accent5 2 3" xfId="451" xr:uid="{00000000-0005-0000-0000-0000C2010000}"/>
    <cellStyle name="Accent5 2 4" xfId="452" xr:uid="{00000000-0005-0000-0000-0000C3010000}"/>
    <cellStyle name="Accent5 2 5" xfId="453" xr:uid="{00000000-0005-0000-0000-0000C4010000}"/>
    <cellStyle name="Accent5 3" xfId="454" xr:uid="{00000000-0005-0000-0000-0000C5010000}"/>
    <cellStyle name="Accent5 4" xfId="455" xr:uid="{00000000-0005-0000-0000-0000C6010000}"/>
    <cellStyle name="Accent5 5" xfId="456" xr:uid="{00000000-0005-0000-0000-0000C7010000}"/>
    <cellStyle name="Accent5 5 2" xfId="457" xr:uid="{00000000-0005-0000-0000-0000C8010000}"/>
    <cellStyle name="Accent5 5 3" xfId="458" xr:uid="{00000000-0005-0000-0000-0000C9010000}"/>
    <cellStyle name="Accent5 5 4" xfId="459" xr:uid="{00000000-0005-0000-0000-0000CA010000}"/>
    <cellStyle name="Accent5 6" xfId="460" xr:uid="{00000000-0005-0000-0000-0000CB010000}"/>
    <cellStyle name="Accent5 7" xfId="461" xr:uid="{00000000-0005-0000-0000-0000CC010000}"/>
    <cellStyle name="Accent5 8" xfId="462" xr:uid="{00000000-0005-0000-0000-0000CD010000}"/>
    <cellStyle name="Accent5 9" xfId="463" xr:uid="{00000000-0005-0000-0000-0000CE010000}"/>
    <cellStyle name="Accent6" xfId="464" builtinId="49" customBuiltin="1"/>
    <cellStyle name="Accent6 10" xfId="465" xr:uid="{00000000-0005-0000-0000-0000D0010000}"/>
    <cellStyle name="Accent6 2" xfId="466" xr:uid="{00000000-0005-0000-0000-0000D1010000}"/>
    <cellStyle name="Accent6 2 2" xfId="467" xr:uid="{00000000-0005-0000-0000-0000D2010000}"/>
    <cellStyle name="Accent6 2 3" xfId="468" xr:uid="{00000000-0005-0000-0000-0000D3010000}"/>
    <cellStyle name="Accent6 2 4" xfId="469" xr:uid="{00000000-0005-0000-0000-0000D4010000}"/>
    <cellStyle name="Accent6 2 5" xfId="470" xr:uid="{00000000-0005-0000-0000-0000D5010000}"/>
    <cellStyle name="Accent6 3" xfId="471" xr:uid="{00000000-0005-0000-0000-0000D6010000}"/>
    <cellStyle name="Accent6 4" xfId="472" xr:uid="{00000000-0005-0000-0000-0000D7010000}"/>
    <cellStyle name="Accent6 5" xfId="473" xr:uid="{00000000-0005-0000-0000-0000D8010000}"/>
    <cellStyle name="Accent6 5 2" xfId="474" xr:uid="{00000000-0005-0000-0000-0000D9010000}"/>
    <cellStyle name="Accent6 5 3" xfId="475" xr:uid="{00000000-0005-0000-0000-0000DA010000}"/>
    <cellStyle name="Accent6 5 4" xfId="476" xr:uid="{00000000-0005-0000-0000-0000DB010000}"/>
    <cellStyle name="Accent6 6" xfId="477" xr:uid="{00000000-0005-0000-0000-0000DC010000}"/>
    <cellStyle name="Accent6 7" xfId="478" xr:uid="{00000000-0005-0000-0000-0000DD010000}"/>
    <cellStyle name="Accent6 8" xfId="479" xr:uid="{00000000-0005-0000-0000-0000DE010000}"/>
    <cellStyle name="Accent6 9" xfId="480" xr:uid="{00000000-0005-0000-0000-0000DF010000}"/>
    <cellStyle name="Bad" xfId="481" builtinId="27" customBuiltin="1"/>
    <cellStyle name="Bad 10" xfId="482" xr:uid="{00000000-0005-0000-0000-0000E1010000}"/>
    <cellStyle name="Bad 2" xfId="483" xr:uid="{00000000-0005-0000-0000-0000E2010000}"/>
    <cellStyle name="Bad 2 2" xfId="484" xr:uid="{00000000-0005-0000-0000-0000E3010000}"/>
    <cellStyle name="Bad 2 3" xfId="485" xr:uid="{00000000-0005-0000-0000-0000E4010000}"/>
    <cellStyle name="Bad 2 4" xfId="486" xr:uid="{00000000-0005-0000-0000-0000E5010000}"/>
    <cellStyle name="Bad 2 5" xfId="487" xr:uid="{00000000-0005-0000-0000-0000E6010000}"/>
    <cellStyle name="Bad 3" xfId="488" xr:uid="{00000000-0005-0000-0000-0000E7010000}"/>
    <cellStyle name="Bad 4" xfId="489" xr:uid="{00000000-0005-0000-0000-0000E8010000}"/>
    <cellStyle name="Bad 5" xfId="490" xr:uid="{00000000-0005-0000-0000-0000E9010000}"/>
    <cellStyle name="Bad 5 2" xfId="491" xr:uid="{00000000-0005-0000-0000-0000EA010000}"/>
    <cellStyle name="Bad 5 3" xfId="492" xr:uid="{00000000-0005-0000-0000-0000EB010000}"/>
    <cellStyle name="Bad 5 4" xfId="493" xr:uid="{00000000-0005-0000-0000-0000EC010000}"/>
    <cellStyle name="Bad 6" xfId="494" xr:uid="{00000000-0005-0000-0000-0000ED010000}"/>
    <cellStyle name="Bad 7" xfId="495" xr:uid="{00000000-0005-0000-0000-0000EE010000}"/>
    <cellStyle name="Bad 8" xfId="496" xr:uid="{00000000-0005-0000-0000-0000EF010000}"/>
    <cellStyle name="Bad 9" xfId="497" xr:uid="{00000000-0005-0000-0000-0000F0010000}"/>
    <cellStyle name="Calculation" xfId="498" builtinId="22" customBuiltin="1"/>
    <cellStyle name="Calculation 10" xfId="499" xr:uid="{00000000-0005-0000-0000-0000F2010000}"/>
    <cellStyle name="Calculation 2" xfId="500" xr:uid="{00000000-0005-0000-0000-0000F3010000}"/>
    <cellStyle name="Calculation 2 2" xfId="501" xr:uid="{00000000-0005-0000-0000-0000F4010000}"/>
    <cellStyle name="Calculation 2 3" xfId="502" xr:uid="{00000000-0005-0000-0000-0000F5010000}"/>
    <cellStyle name="Calculation 2 4" xfId="503" xr:uid="{00000000-0005-0000-0000-0000F6010000}"/>
    <cellStyle name="Calculation 2 5" xfId="504" xr:uid="{00000000-0005-0000-0000-0000F7010000}"/>
    <cellStyle name="Calculation 3" xfId="505" xr:uid="{00000000-0005-0000-0000-0000F8010000}"/>
    <cellStyle name="Calculation 4" xfId="506" xr:uid="{00000000-0005-0000-0000-0000F9010000}"/>
    <cellStyle name="Calculation 5" xfId="507" xr:uid="{00000000-0005-0000-0000-0000FA010000}"/>
    <cellStyle name="Calculation 5 2" xfId="508" xr:uid="{00000000-0005-0000-0000-0000FB010000}"/>
    <cellStyle name="Calculation 5 3" xfId="509" xr:uid="{00000000-0005-0000-0000-0000FC010000}"/>
    <cellStyle name="Calculation 5 4" xfId="510" xr:uid="{00000000-0005-0000-0000-0000FD010000}"/>
    <cellStyle name="Calculation 6" xfId="511" xr:uid="{00000000-0005-0000-0000-0000FE010000}"/>
    <cellStyle name="Calculation 7" xfId="512" xr:uid="{00000000-0005-0000-0000-0000FF010000}"/>
    <cellStyle name="Calculation 8" xfId="513" xr:uid="{00000000-0005-0000-0000-000000020000}"/>
    <cellStyle name="Calculation 9" xfId="514" xr:uid="{00000000-0005-0000-0000-000001020000}"/>
    <cellStyle name="Check Cell" xfId="515" builtinId="23" customBuiltin="1"/>
    <cellStyle name="Check Cell 10" xfId="516" xr:uid="{00000000-0005-0000-0000-000003020000}"/>
    <cellStyle name="Check Cell 2" xfId="517" xr:uid="{00000000-0005-0000-0000-000004020000}"/>
    <cellStyle name="Check Cell 2 2" xfId="518" xr:uid="{00000000-0005-0000-0000-000005020000}"/>
    <cellStyle name="Check Cell 2 3" xfId="519" xr:uid="{00000000-0005-0000-0000-000006020000}"/>
    <cellStyle name="Check Cell 2 4" xfId="520" xr:uid="{00000000-0005-0000-0000-000007020000}"/>
    <cellStyle name="Check Cell 2 5" xfId="521" xr:uid="{00000000-0005-0000-0000-000008020000}"/>
    <cellStyle name="Check Cell 3" xfId="522" xr:uid="{00000000-0005-0000-0000-000009020000}"/>
    <cellStyle name="Check Cell 4" xfId="523" xr:uid="{00000000-0005-0000-0000-00000A020000}"/>
    <cellStyle name="Check Cell 5" xfId="524" xr:uid="{00000000-0005-0000-0000-00000B020000}"/>
    <cellStyle name="Check Cell 5 2" xfId="525" xr:uid="{00000000-0005-0000-0000-00000C020000}"/>
    <cellStyle name="Check Cell 5 3" xfId="526" xr:uid="{00000000-0005-0000-0000-00000D020000}"/>
    <cellStyle name="Check Cell 5 4" xfId="527" xr:uid="{00000000-0005-0000-0000-00000E020000}"/>
    <cellStyle name="Check Cell 6" xfId="528" xr:uid="{00000000-0005-0000-0000-00000F020000}"/>
    <cellStyle name="Check Cell 7" xfId="529" xr:uid="{00000000-0005-0000-0000-000010020000}"/>
    <cellStyle name="Check Cell 8" xfId="530" xr:uid="{00000000-0005-0000-0000-000011020000}"/>
    <cellStyle name="Check Cell 9" xfId="531" xr:uid="{00000000-0005-0000-0000-000012020000}"/>
    <cellStyle name="Comma" xfId="532" builtinId="3"/>
    <cellStyle name="Comma 2" xfId="533" xr:uid="{00000000-0005-0000-0000-000014020000}"/>
    <cellStyle name="Comma 2 2" xfId="534" xr:uid="{00000000-0005-0000-0000-000015020000}"/>
    <cellStyle name="Comma 3" xfId="535" xr:uid="{00000000-0005-0000-0000-000016020000}"/>
    <cellStyle name="Comma 4" xfId="536" xr:uid="{00000000-0005-0000-0000-000017020000}"/>
    <cellStyle name="Comma 5" xfId="537" xr:uid="{00000000-0005-0000-0000-000018020000}"/>
    <cellStyle name="Comma 6" xfId="538" xr:uid="{00000000-0005-0000-0000-000019020000}"/>
    <cellStyle name="Comma 7" xfId="539" xr:uid="{00000000-0005-0000-0000-00001A020000}"/>
    <cellStyle name="Comma 8" xfId="540" xr:uid="{00000000-0005-0000-0000-00001B020000}"/>
    <cellStyle name="Comma 9" xfId="541" xr:uid="{00000000-0005-0000-0000-00001C020000}"/>
    <cellStyle name="Currency" xfId="542" builtinId="4"/>
    <cellStyle name="Currency 2" xfId="543" xr:uid="{00000000-0005-0000-0000-00001E020000}"/>
    <cellStyle name="Currency 2 2" xfId="544" xr:uid="{00000000-0005-0000-0000-00001F020000}"/>
    <cellStyle name="Currency 3" xfId="545" xr:uid="{00000000-0005-0000-0000-000020020000}"/>
    <cellStyle name="Currency 4" xfId="546" xr:uid="{00000000-0005-0000-0000-000021020000}"/>
    <cellStyle name="Currency 5" xfId="547" xr:uid="{00000000-0005-0000-0000-000022020000}"/>
    <cellStyle name="Currency 6" xfId="548" xr:uid="{00000000-0005-0000-0000-000023020000}"/>
    <cellStyle name="Currency 7" xfId="549" xr:uid="{00000000-0005-0000-0000-000024020000}"/>
    <cellStyle name="Currency 8" xfId="550" xr:uid="{00000000-0005-0000-0000-000025020000}"/>
    <cellStyle name="Currency 9" xfId="551" xr:uid="{00000000-0005-0000-0000-000026020000}"/>
    <cellStyle name="Explanatory Text" xfId="552" builtinId="53" customBuiltin="1"/>
    <cellStyle name="Explanatory Text 10" xfId="553" xr:uid="{00000000-0005-0000-0000-000028020000}"/>
    <cellStyle name="Explanatory Text 2" xfId="554" xr:uid="{00000000-0005-0000-0000-000029020000}"/>
    <cellStyle name="Explanatory Text 2 2" xfId="555" xr:uid="{00000000-0005-0000-0000-00002A020000}"/>
    <cellStyle name="Explanatory Text 2 3" xfId="556" xr:uid="{00000000-0005-0000-0000-00002B020000}"/>
    <cellStyle name="Explanatory Text 2 4" xfId="557" xr:uid="{00000000-0005-0000-0000-00002C020000}"/>
    <cellStyle name="Explanatory Text 2 5" xfId="558" xr:uid="{00000000-0005-0000-0000-00002D020000}"/>
    <cellStyle name="Explanatory Text 3" xfId="559" xr:uid="{00000000-0005-0000-0000-00002E020000}"/>
    <cellStyle name="Explanatory Text 4" xfId="560" xr:uid="{00000000-0005-0000-0000-00002F020000}"/>
    <cellStyle name="Explanatory Text 5" xfId="561" xr:uid="{00000000-0005-0000-0000-000030020000}"/>
    <cellStyle name="Explanatory Text 5 2" xfId="562" xr:uid="{00000000-0005-0000-0000-000031020000}"/>
    <cellStyle name="Explanatory Text 5 3" xfId="563" xr:uid="{00000000-0005-0000-0000-000032020000}"/>
    <cellStyle name="Explanatory Text 5 4" xfId="564" xr:uid="{00000000-0005-0000-0000-000033020000}"/>
    <cellStyle name="Explanatory Text 6" xfId="565" xr:uid="{00000000-0005-0000-0000-000034020000}"/>
    <cellStyle name="Explanatory Text 7" xfId="566" xr:uid="{00000000-0005-0000-0000-000035020000}"/>
    <cellStyle name="Explanatory Text 8" xfId="567" xr:uid="{00000000-0005-0000-0000-000036020000}"/>
    <cellStyle name="Explanatory Text 9" xfId="568" xr:uid="{00000000-0005-0000-0000-000037020000}"/>
    <cellStyle name="Good" xfId="569" builtinId="26" customBuiltin="1"/>
    <cellStyle name="Good 10" xfId="570" xr:uid="{00000000-0005-0000-0000-000039020000}"/>
    <cellStyle name="Good 2" xfId="571" xr:uid="{00000000-0005-0000-0000-00003A020000}"/>
    <cellStyle name="Good 2 2" xfId="572" xr:uid="{00000000-0005-0000-0000-00003B020000}"/>
    <cellStyle name="Good 2 3" xfId="573" xr:uid="{00000000-0005-0000-0000-00003C020000}"/>
    <cellStyle name="Good 2 4" xfId="574" xr:uid="{00000000-0005-0000-0000-00003D020000}"/>
    <cellStyle name="Good 2 5" xfId="575" xr:uid="{00000000-0005-0000-0000-00003E020000}"/>
    <cellStyle name="Good 3" xfId="576" xr:uid="{00000000-0005-0000-0000-00003F020000}"/>
    <cellStyle name="Good 4" xfId="577" xr:uid="{00000000-0005-0000-0000-000040020000}"/>
    <cellStyle name="Good 5" xfId="578" xr:uid="{00000000-0005-0000-0000-000041020000}"/>
    <cellStyle name="Good 5 2" xfId="579" xr:uid="{00000000-0005-0000-0000-000042020000}"/>
    <cellStyle name="Good 5 3" xfId="580" xr:uid="{00000000-0005-0000-0000-000043020000}"/>
    <cellStyle name="Good 5 4" xfId="581" xr:uid="{00000000-0005-0000-0000-000044020000}"/>
    <cellStyle name="Good 6" xfId="582" xr:uid="{00000000-0005-0000-0000-000045020000}"/>
    <cellStyle name="Good 7" xfId="583" xr:uid="{00000000-0005-0000-0000-000046020000}"/>
    <cellStyle name="Good 8" xfId="584" xr:uid="{00000000-0005-0000-0000-000047020000}"/>
    <cellStyle name="Good 9" xfId="585" xr:uid="{00000000-0005-0000-0000-000048020000}"/>
    <cellStyle name="Heading 1" xfId="586" builtinId="16" customBuiltin="1"/>
    <cellStyle name="Heading 1 10" xfId="587" xr:uid="{00000000-0005-0000-0000-00004A020000}"/>
    <cellStyle name="Heading 1 2" xfId="588" xr:uid="{00000000-0005-0000-0000-00004B020000}"/>
    <cellStyle name="Heading 1 2 2" xfId="589" xr:uid="{00000000-0005-0000-0000-00004C020000}"/>
    <cellStyle name="Heading 1 2 3" xfId="590" xr:uid="{00000000-0005-0000-0000-00004D020000}"/>
    <cellStyle name="Heading 1 2 4" xfId="591" xr:uid="{00000000-0005-0000-0000-00004E020000}"/>
    <cellStyle name="Heading 1 2 5" xfId="592" xr:uid="{00000000-0005-0000-0000-00004F020000}"/>
    <cellStyle name="Heading 1 3" xfId="593" xr:uid="{00000000-0005-0000-0000-000050020000}"/>
    <cellStyle name="Heading 1 4" xfId="594" xr:uid="{00000000-0005-0000-0000-000051020000}"/>
    <cellStyle name="Heading 1 5" xfId="595" xr:uid="{00000000-0005-0000-0000-000052020000}"/>
    <cellStyle name="Heading 1 5 2" xfId="596" xr:uid="{00000000-0005-0000-0000-000053020000}"/>
    <cellStyle name="Heading 1 5 3" xfId="597" xr:uid="{00000000-0005-0000-0000-000054020000}"/>
    <cellStyle name="Heading 1 5 4" xfId="598" xr:uid="{00000000-0005-0000-0000-000055020000}"/>
    <cellStyle name="Heading 1 6" xfId="599" xr:uid="{00000000-0005-0000-0000-000056020000}"/>
    <cellStyle name="Heading 1 7" xfId="600" xr:uid="{00000000-0005-0000-0000-000057020000}"/>
    <cellStyle name="Heading 1 8" xfId="601" xr:uid="{00000000-0005-0000-0000-000058020000}"/>
    <cellStyle name="Heading 1 9" xfId="602" xr:uid="{00000000-0005-0000-0000-000059020000}"/>
    <cellStyle name="Heading 2" xfId="603" builtinId="17" customBuiltin="1"/>
    <cellStyle name="Heading 2 10" xfId="604" xr:uid="{00000000-0005-0000-0000-00005B020000}"/>
    <cellStyle name="Heading 2 2" xfId="605" xr:uid="{00000000-0005-0000-0000-00005C020000}"/>
    <cellStyle name="Heading 2 2 2" xfId="606" xr:uid="{00000000-0005-0000-0000-00005D020000}"/>
    <cellStyle name="Heading 2 2 3" xfId="607" xr:uid="{00000000-0005-0000-0000-00005E020000}"/>
    <cellStyle name="Heading 2 2 4" xfId="608" xr:uid="{00000000-0005-0000-0000-00005F020000}"/>
    <cellStyle name="Heading 2 2 5" xfId="609" xr:uid="{00000000-0005-0000-0000-000060020000}"/>
    <cellStyle name="Heading 2 3" xfId="610" xr:uid="{00000000-0005-0000-0000-000061020000}"/>
    <cellStyle name="Heading 2 4" xfId="611" xr:uid="{00000000-0005-0000-0000-000062020000}"/>
    <cellStyle name="Heading 2 5" xfId="612" xr:uid="{00000000-0005-0000-0000-000063020000}"/>
    <cellStyle name="Heading 2 5 2" xfId="613" xr:uid="{00000000-0005-0000-0000-000064020000}"/>
    <cellStyle name="Heading 2 5 3" xfId="614" xr:uid="{00000000-0005-0000-0000-000065020000}"/>
    <cellStyle name="Heading 2 5 4" xfId="615" xr:uid="{00000000-0005-0000-0000-000066020000}"/>
    <cellStyle name="Heading 2 6" xfId="616" xr:uid="{00000000-0005-0000-0000-000067020000}"/>
    <cellStyle name="Heading 2 7" xfId="617" xr:uid="{00000000-0005-0000-0000-000068020000}"/>
    <cellStyle name="Heading 2 8" xfId="618" xr:uid="{00000000-0005-0000-0000-000069020000}"/>
    <cellStyle name="Heading 2 9" xfId="619" xr:uid="{00000000-0005-0000-0000-00006A020000}"/>
    <cellStyle name="Heading 3" xfId="620" builtinId="18" customBuiltin="1"/>
    <cellStyle name="Heading 3 10" xfId="621" xr:uid="{00000000-0005-0000-0000-00006C020000}"/>
    <cellStyle name="Heading 3 2" xfId="622" xr:uid="{00000000-0005-0000-0000-00006D020000}"/>
    <cellStyle name="Heading 3 2 2" xfId="623" xr:uid="{00000000-0005-0000-0000-00006E020000}"/>
    <cellStyle name="Heading 3 2 3" xfId="624" xr:uid="{00000000-0005-0000-0000-00006F020000}"/>
    <cellStyle name="Heading 3 2 4" xfId="625" xr:uid="{00000000-0005-0000-0000-000070020000}"/>
    <cellStyle name="Heading 3 2 5" xfId="626" xr:uid="{00000000-0005-0000-0000-000071020000}"/>
    <cellStyle name="Heading 3 3" xfId="627" xr:uid="{00000000-0005-0000-0000-000072020000}"/>
    <cellStyle name="Heading 3 4" xfId="628" xr:uid="{00000000-0005-0000-0000-000073020000}"/>
    <cellStyle name="Heading 3 5" xfId="629" xr:uid="{00000000-0005-0000-0000-000074020000}"/>
    <cellStyle name="Heading 3 5 2" xfId="630" xr:uid="{00000000-0005-0000-0000-000075020000}"/>
    <cellStyle name="Heading 3 5 3" xfId="631" xr:uid="{00000000-0005-0000-0000-000076020000}"/>
    <cellStyle name="Heading 3 5 4" xfId="632" xr:uid="{00000000-0005-0000-0000-000077020000}"/>
    <cellStyle name="Heading 3 6" xfId="633" xr:uid="{00000000-0005-0000-0000-000078020000}"/>
    <cellStyle name="Heading 3 7" xfId="634" xr:uid="{00000000-0005-0000-0000-000079020000}"/>
    <cellStyle name="Heading 3 8" xfId="635" xr:uid="{00000000-0005-0000-0000-00007A020000}"/>
    <cellStyle name="Heading 3 9" xfId="636" xr:uid="{00000000-0005-0000-0000-00007B020000}"/>
    <cellStyle name="Heading 4" xfId="637" builtinId="19" customBuiltin="1"/>
    <cellStyle name="Heading 4 10" xfId="638" xr:uid="{00000000-0005-0000-0000-00007D020000}"/>
    <cellStyle name="Heading 4 2" xfId="639" xr:uid="{00000000-0005-0000-0000-00007E020000}"/>
    <cellStyle name="Heading 4 2 2" xfId="640" xr:uid="{00000000-0005-0000-0000-00007F020000}"/>
    <cellStyle name="Heading 4 2 3" xfId="641" xr:uid="{00000000-0005-0000-0000-000080020000}"/>
    <cellStyle name="Heading 4 2 4" xfId="642" xr:uid="{00000000-0005-0000-0000-000081020000}"/>
    <cellStyle name="Heading 4 2 5" xfId="643" xr:uid="{00000000-0005-0000-0000-000082020000}"/>
    <cellStyle name="Heading 4 3" xfId="644" xr:uid="{00000000-0005-0000-0000-000083020000}"/>
    <cellStyle name="Heading 4 4" xfId="645" xr:uid="{00000000-0005-0000-0000-000084020000}"/>
    <cellStyle name="Heading 4 5" xfId="646" xr:uid="{00000000-0005-0000-0000-000085020000}"/>
    <cellStyle name="Heading 4 5 2" xfId="647" xr:uid="{00000000-0005-0000-0000-000086020000}"/>
    <cellStyle name="Heading 4 5 3" xfId="648" xr:uid="{00000000-0005-0000-0000-000087020000}"/>
    <cellStyle name="Heading 4 5 4" xfId="649" xr:uid="{00000000-0005-0000-0000-000088020000}"/>
    <cellStyle name="Heading 4 6" xfId="650" xr:uid="{00000000-0005-0000-0000-000089020000}"/>
    <cellStyle name="Heading 4 7" xfId="651" xr:uid="{00000000-0005-0000-0000-00008A020000}"/>
    <cellStyle name="Heading 4 8" xfId="652" xr:uid="{00000000-0005-0000-0000-00008B020000}"/>
    <cellStyle name="Heading 4 9" xfId="653" xr:uid="{00000000-0005-0000-0000-00008C020000}"/>
    <cellStyle name="Hyperlink" xfId="654" builtinId="8"/>
    <cellStyle name="Hyperlink 2" xfId="655" xr:uid="{00000000-0005-0000-0000-00008E020000}"/>
    <cellStyle name="Input" xfId="656" builtinId="20" customBuiltin="1"/>
    <cellStyle name="Input 10" xfId="657" xr:uid="{00000000-0005-0000-0000-000090020000}"/>
    <cellStyle name="Input 2" xfId="658" xr:uid="{00000000-0005-0000-0000-000091020000}"/>
    <cellStyle name="Input 2 2" xfId="659" xr:uid="{00000000-0005-0000-0000-000092020000}"/>
    <cellStyle name="Input 2 3" xfId="660" xr:uid="{00000000-0005-0000-0000-000093020000}"/>
    <cellStyle name="Input 2 4" xfId="661" xr:uid="{00000000-0005-0000-0000-000094020000}"/>
    <cellStyle name="Input 2 5" xfId="662" xr:uid="{00000000-0005-0000-0000-000095020000}"/>
    <cellStyle name="Input 3" xfId="663" xr:uid="{00000000-0005-0000-0000-000096020000}"/>
    <cellStyle name="Input 4" xfId="664" xr:uid="{00000000-0005-0000-0000-000097020000}"/>
    <cellStyle name="Input 5" xfId="665" xr:uid="{00000000-0005-0000-0000-000098020000}"/>
    <cellStyle name="Input 5 2" xfId="666" xr:uid="{00000000-0005-0000-0000-000099020000}"/>
    <cellStyle name="Input 5 3" xfId="667" xr:uid="{00000000-0005-0000-0000-00009A020000}"/>
    <cellStyle name="Input 5 4" xfId="668" xr:uid="{00000000-0005-0000-0000-00009B020000}"/>
    <cellStyle name="Input 6" xfId="669" xr:uid="{00000000-0005-0000-0000-00009C020000}"/>
    <cellStyle name="Input 7" xfId="670" xr:uid="{00000000-0005-0000-0000-00009D020000}"/>
    <cellStyle name="Input 8" xfId="671" xr:uid="{00000000-0005-0000-0000-00009E020000}"/>
    <cellStyle name="Input 9" xfId="672" xr:uid="{00000000-0005-0000-0000-00009F020000}"/>
    <cellStyle name="Linked Cell" xfId="673" builtinId="24" customBuiltin="1"/>
    <cellStyle name="Linked Cell 10" xfId="674" xr:uid="{00000000-0005-0000-0000-0000A1020000}"/>
    <cellStyle name="Linked Cell 2" xfId="675" xr:uid="{00000000-0005-0000-0000-0000A2020000}"/>
    <cellStyle name="Linked Cell 2 2" xfId="676" xr:uid="{00000000-0005-0000-0000-0000A3020000}"/>
    <cellStyle name="Linked Cell 2 3" xfId="677" xr:uid="{00000000-0005-0000-0000-0000A4020000}"/>
    <cellStyle name="Linked Cell 2 4" xfId="678" xr:uid="{00000000-0005-0000-0000-0000A5020000}"/>
    <cellStyle name="Linked Cell 2 5" xfId="679" xr:uid="{00000000-0005-0000-0000-0000A6020000}"/>
    <cellStyle name="Linked Cell 3" xfId="680" xr:uid="{00000000-0005-0000-0000-0000A7020000}"/>
    <cellStyle name="Linked Cell 4" xfId="681" xr:uid="{00000000-0005-0000-0000-0000A8020000}"/>
    <cellStyle name="Linked Cell 5" xfId="682" xr:uid="{00000000-0005-0000-0000-0000A9020000}"/>
    <cellStyle name="Linked Cell 5 2" xfId="683" xr:uid="{00000000-0005-0000-0000-0000AA020000}"/>
    <cellStyle name="Linked Cell 5 3" xfId="684" xr:uid="{00000000-0005-0000-0000-0000AB020000}"/>
    <cellStyle name="Linked Cell 5 4" xfId="685" xr:uid="{00000000-0005-0000-0000-0000AC020000}"/>
    <cellStyle name="Linked Cell 6" xfId="686" xr:uid="{00000000-0005-0000-0000-0000AD020000}"/>
    <cellStyle name="Linked Cell 7" xfId="687" xr:uid="{00000000-0005-0000-0000-0000AE020000}"/>
    <cellStyle name="Linked Cell 8" xfId="688" xr:uid="{00000000-0005-0000-0000-0000AF020000}"/>
    <cellStyle name="Linked Cell 9" xfId="689" xr:uid="{00000000-0005-0000-0000-0000B0020000}"/>
    <cellStyle name="Neutral" xfId="690" builtinId="28" customBuiltin="1"/>
    <cellStyle name="Neutral 10" xfId="691" xr:uid="{00000000-0005-0000-0000-0000B2020000}"/>
    <cellStyle name="Neutral 2" xfId="692" xr:uid="{00000000-0005-0000-0000-0000B3020000}"/>
    <cellStyle name="Neutral 2 2" xfId="693" xr:uid="{00000000-0005-0000-0000-0000B4020000}"/>
    <cellStyle name="Neutral 2 3" xfId="694" xr:uid="{00000000-0005-0000-0000-0000B5020000}"/>
    <cellStyle name="Neutral 2 4" xfId="695" xr:uid="{00000000-0005-0000-0000-0000B6020000}"/>
    <cellStyle name="Neutral 2 5" xfId="696" xr:uid="{00000000-0005-0000-0000-0000B7020000}"/>
    <cellStyle name="Neutral 3" xfId="697" xr:uid="{00000000-0005-0000-0000-0000B8020000}"/>
    <cellStyle name="Neutral 4" xfId="698" xr:uid="{00000000-0005-0000-0000-0000B9020000}"/>
    <cellStyle name="Neutral 5" xfId="699" xr:uid="{00000000-0005-0000-0000-0000BA020000}"/>
    <cellStyle name="Neutral 5 2" xfId="700" xr:uid="{00000000-0005-0000-0000-0000BB020000}"/>
    <cellStyle name="Neutral 5 3" xfId="701" xr:uid="{00000000-0005-0000-0000-0000BC020000}"/>
    <cellStyle name="Neutral 5 4" xfId="702" xr:uid="{00000000-0005-0000-0000-0000BD020000}"/>
    <cellStyle name="Neutral 6" xfId="703" xr:uid="{00000000-0005-0000-0000-0000BE020000}"/>
    <cellStyle name="Neutral 7" xfId="704" xr:uid="{00000000-0005-0000-0000-0000BF020000}"/>
    <cellStyle name="Neutral 8" xfId="705" xr:uid="{00000000-0005-0000-0000-0000C0020000}"/>
    <cellStyle name="Neutral 9" xfId="706" xr:uid="{00000000-0005-0000-0000-0000C1020000}"/>
    <cellStyle name="Normal" xfId="0" builtinId="0"/>
    <cellStyle name="Normal 10" xfId="707" xr:uid="{00000000-0005-0000-0000-0000C3020000}"/>
    <cellStyle name="Normal 11" xfId="708" xr:uid="{00000000-0005-0000-0000-0000C4020000}"/>
    <cellStyle name="Normal 11 2" xfId="709" xr:uid="{00000000-0005-0000-0000-0000C5020000}"/>
    <cellStyle name="Normal 11 3" xfId="710" xr:uid="{00000000-0005-0000-0000-0000C6020000}"/>
    <cellStyle name="Normal 12" xfId="711" xr:uid="{00000000-0005-0000-0000-0000C7020000}"/>
    <cellStyle name="Normal 12 2" xfId="712" xr:uid="{00000000-0005-0000-0000-0000C8020000}"/>
    <cellStyle name="Normal 13" xfId="713" xr:uid="{00000000-0005-0000-0000-0000C9020000}"/>
    <cellStyle name="Normal 13 2" xfId="714" xr:uid="{00000000-0005-0000-0000-0000CA020000}"/>
    <cellStyle name="Normal 2" xfId="715" xr:uid="{00000000-0005-0000-0000-0000CB020000}"/>
    <cellStyle name="Normal 2 2" xfId="716" xr:uid="{00000000-0005-0000-0000-0000CC020000}"/>
    <cellStyle name="Normal 2 2 2" xfId="717" xr:uid="{00000000-0005-0000-0000-0000CD020000}"/>
    <cellStyle name="Normal 2 2 3" xfId="718" xr:uid="{00000000-0005-0000-0000-0000CE020000}"/>
    <cellStyle name="Normal 2 2 4" xfId="719" xr:uid="{00000000-0005-0000-0000-0000CF020000}"/>
    <cellStyle name="Normal 2 3" xfId="720" xr:uid="{00000000-0005-0000-0000-0000D0020000}"/>
    <cellStyle name="Normal 2 4" xfId="721" xr:uid="{00000000-0005-0000-0000-0000D1020000}"/>
    <cellStyle name="Normal 2 5" xfId="722" xr:uid="{00000000-0005-0000-0000-0000D2020000}"/>
    <cellStyle name="Normal 2 6" xfId="723" xr:uid="{00000000-0005-0000-0000-0000D3020000}"/>
    <cellStyle name="Normal 3" xfId="724" xr:uid="{00000000-0005-0000-0000-0000D4020000}"/>
    <cellStyle name="Normal 3 2" xfId="725" xr:uid="{00000000-0005-0000-0000-0000D5020000}"/>
    <cellStyle name="Normal 3 3" xfId="726" xr:uid="{00000000-0005-0000-0000-0000D6020000}"/>
    <cellStyle name="Normal 3 4" xfId="727" xr:uid="{00000000-0005-0000-0000-0000D7020000}"/>
    <cellStyle name="Normal 3 5" xfId="728" xr:uid="{00000000-0005-0000-0000-0000D8020000}"/>
    <cellStyle name="Normal 4" xfId="729" xr:uid="{00000000-0005-0000-0000-0000D9020000}"/>
    <cellStyle name="Normal 5" xfId="730" xr:uid="{00000000-0005-0000-0000-0000DA020000}"/>
    <cellStyle name="Normal 6" xfId="731" xr:uid="{00000000-0005-0000-0000-0000DB020000}"/>
    <cellStyle name="Normal 6 2" xfId="847" xr:uid="{00000000-0005-0000-0000-0000DC020000}"/>
    <cellStyle name="Normal 7" xfId="732" xr:uid="{00000000-0005-0000-0000-0000DD020000}"/>
    <cellStyle name="Normal 7 2" xfId="733" xr:uid="{00000000-0005-0000-0000-0000DE020000}"/>
    <cellStyle name="Normal 7 2 2" xfId="734" xr:uid="{00000000-0005-0000-0000-0000DF020000}"/>
    <cellStyle name="Normal 7 2 3" xfId="735" xr:uid="{00000000-0005-0000-0000-0000E0020000}"/>
    <cellStyle name="Normal 7 2 4" xfId="736" xr:uid="{00000000-0005-0000-0000-0000E1020000}"/>
    <cellStyle name="Normal 7 2 4 2" xfId="848" xr:uid="{00000000-0005-0000-0000-0000E2020000}"/>
    <cellStyle name="Normal 7 2 5" xfId="737" xr:uid="{00000000-0005-0000-0000-0000E3020000}"/>
    <cellStyle name="Normal 7 2 5 2" xfId="849" xr:uid="{00000000-0005-0000-0000-0000E4020000}"/>
    <cellStyle name="Normal 7 3" xfId="738" xr:uid="{00000000-0005-0000-0000-0000E5020000}"/>
    <cellStyle name="Normal 7 4" xfId="739" xr:uid="{00000000-0005-0000-0000-0000E6020000}"/>
    <cellStyle name="Normal 7 4 2" xfId="740" xr:uid="{00000000-0005-0000-0000-0000E7020000}"/>
    <cellStyle name="Normal 7 4 2 2" xfId="850" xr:uid="{00000000-0005-0000-0000-0000E8020000}"/>
    <cellStyle name="Normal 7 4 3" xfId="741" xr:uid="{00000000-0005-0000-0000-0000E9020000}"/>
    <cellStyle name="Normal 7 5" xfId="742" xr:uid="{00000000-0005-0000-0000-0000EA020000}"/>
    <cellStyle name="Normal 7 5 2" xfId="851" xr:uid="{00000000-0005-0000-0000-0000EB020000}"/>
    <cellStyle name="Normal 8" xfId="743" xr:uid="{00000000-0005-0000-0000-0000EC020000}"/>
    <cellStyle name="Normal 8 2" xfId="744" xr:uid="{00000000-0005-0000-0000-0000ED020000}"/>
    <cellStyle name="Normal 8 3" xfId="745" xr:uid="{00000000-0005-0000-0000-0000EE020000}"/>
    <cellStyle name="Normal 8 3 2" xfId="746" xr:uid="{00000000-0005-0000-0000-0000EF020000}"/>
    <cellStyle name="Normal 8 4" xfId="747" xr:uid="{00000000-0005-0000-0000-0000F0020000}"/>
    <cellStyle name="Normal 8 5" xfId="748" xr:uid="{00000000-0005-0000-0000-0000F1020000}"/>
    <cellStyle name="Normal 8 6" xfId="749" xr:uid="{00000000-0005-0000-0000-0000F2020000}"/>
    <cellStyle name="Normal 9" xfId="750" xr:uid="{00000000-0005-0000-0000-0000F3020000}"/>
    <cellStyle name="Normal 9 2" xfId="751" xr:uid="{00000000-0005-0000-0000-0000F4020000}"/>
    <cellStyle name="Normal_Waivers" xfId="752" xr:uid="{00000000-0005-0000-0000-0000F5020000}"/>
    <cellStyle name="Note" xfId="753" builtinId="10" customBuiltin="1"/>
    <cellStyle name="Note 10" xfId="754" xr:uid="{00000000-0005-0000-0000-0000F7020000}"/>
    <cellStyle name="Note 2" xfId="755" xr:uid="{00000000-0005-0000-0000-0000F8020000}"/>
    <cellStyle name="Note 2 2" xfId="756" xr:uid="{00000000-0005-0000-0000-0000F9020000}"/>
    <cellStyle name="Note 2 2 2" xfId="757" xr:uid="{00000000-0005-0000-0000-0000FA020000}"/>
    <cellStyle name="Note 2 3" xfId="758" xr:uid="{00000000-0005-0000-0000-0000FB020000}"/>
    <cellStyle name="Note 2 3 2" xfId="759" xr:uid="{00000000-0005-0000-0000-0000FC020000}"/>
    <cellStyle name="Note 2 4" xfId="760" xr:uid="{00000000-0005-0000-0000-0000FD020000}"/>
    <cellStyle name="Note 2 5" xfId="761" xr:uid="{00000000-0005-0000-0000-0000FE020000}"/>
    <cellStyle name="Note 2 5 2" xfId="762" xr:uid="{00000000-0005-0000-0000-0000FF020000}"/>
    <cellStyle name="Note 2 5 3" xfId="763" xr:uid="{00000000-0005-0000-0000-000000030000}"/>
    <cellStyle name="Note 2 6" xfId="764" xr:uid="{00000000-0005-0000-0000-000001030000}"/>
    <cellStyle name="Note 3" xfId="765" xr:uid="{00000000-0005-0000-0000-000002030000}"/>
    <cellStyle name="Note 3 2" xfId="766" xr:uid="{00000000-0005-0000-0000-000003030000}"/>
    <cellStyle name="Note 4" xfId="767" xr:uid="{00000000-0005-0000-0000-000004030000}"/>
    <cellStyle name="Note 5" xfId="768" xr:uid="{00000000-0005-0000-0000-000005030000}"/>
    <cellStyle name="Note 5 2" xfId="769" xr:uid="{00000000-0005-0000-0000-000006030000}"/>
    <cellStyle name="Note 5 3" xfId="770" xr:uid="{00000000-0005-0000-0000-000007030000}"/>
    <cellStyle name="Note 5 4" xfId="771" xr:uid="{00000000-0005-0000-0000-000008030000}"/>
    <cellStyle name="Note 6" xfId="772" xr:uid="{00000000-0005-0000-0000-000009030000}"/>
    <cellStyle name="Note 7" xfId="773" xr:uid="{00000000-0005-0000-0000-00000A030000}"/>
    <cellStyle name="Note 8" xfId="774" xr:uid="{00000000-0005-0000-0000-00000B030000}"/>
    <cellStyle name="Note 9" xfId="775" xr:uid="{00000000-0005-0000-0000-00000C030000}"/>
    <cellStyle name="Output" xfId="776" builtinId="21" customBuiltin="1"/>
    <cellStyle name="Output 10" xfId="777" xr:uid="{00000000-0005-0000-0000-00000E030000}"/>
    <cellStyle name="Output 2" xfId="778" xr:uid="{00000000-0005-0000-0000-00000F030000}"/>
    <cellStyle name="Output 2 2" xfId="779" xr:uid="{00000000-0005-0000-0000-000010030000}"/>
    <cellStyle name="Output 2 3" xfId="780" xr:uid="{00000000-0005-0000-0000-000011030000}"/>
    <cellStyle name="Output 2 4" xfId="781" xr:uid="{00000000-0005-0000-0000-000012030000}"/>
    <cellStyle name="Output 2 5" xfId="782" xr:uid="{00000000-0005-0000-0000-000013030000}"/>
    <cellStyle name="Output 3" xfId="783" xr:uid="{00000000-0005-0000-0000-000014030000}"/>
    <cellStyle name="Output 4" xfId="784" xr:uid="{00000000-0005-0000-0000-000015030000}"/>
    <cellStyle name="Output 5" xfId="785" xr:uid="{00000000-0005-0000-0000-000016030000}"/>
    <cellStyle name="Output 5 2" xfId="786" xr:uid="{00000000-0005-0000-0000-000017030000}"/>
    <cellStyle name="Output 5 3" xfId="787" xr:uid="{00000000-0005-0000-0000-000018030000}"/>
    <cellStyle name="Output 5 4" xfId="788" xr:uid="{00000000-0005-0000-0000-000019030000}"/>
    <cellStyle name="Output 6" xfId="789" xr:uid="{00000000-0005-0000-0000-00001A030000}"/>
    <cellStyle name="Output 7" xfId="790" xr:uid="{00000000-0005-0000-0000-00001B030000}"/>
    <cellStyle name="Output 8" xfId="791" xr:uid="{00000000-0005-0000-0000-00001C030000}"/>
    <cellStyle name="Output 9" xfId="792" xr:uid="{00000000-0005-0000-0000-00001D030000}"/>
    <cellStyle name="Per cent" xfId="793" builtinId="5"/>
    <cellStyle name="Percent 2" xfId="794" xr:uid="{00000000-0005-0000-0000-00001F030000}"/>
    <cellStyle name="Percent 3" xfId="795" xr:uid="{00000000-0005-0000-0000-000020030000}"/>
    <cellStyle name="Title" xfId="796" builtinId="15" customBuiltin="1"/>
    <cellStyle name="Title 10" xfId="797" xr:uid="{00000000-0005-0000-0000-000022030000}"/>
    <cellStyle name="Title 2" xfId="798" xr:uid="{00000000-0005-0000-0000-000023030000}"/>
    <cellStyle name="Title 2 2" xfId="799" xr:uid="{00000000-0005-0000-0000-000024030000}"/>
    <cellStyle name="Title 2 3" xfId="800" xr:uid="{00000000-0005-0000-0000-000025030000}"/>
    <cellStyle name="Title 2 4" xfId="801" xr:uid="{00000000-0005-0000-0000-000026030000}"/>
    <cellStyle name="Title 2 5" xfId="802" xr:uid="{00000000-0005-0000-0000-000027030000}"/>
    <cellStyle name="Title 3" xfId="803" xr:uid="{00000000-0005-0000-0000-000028030000}"/>
    <cellStyle name="Title 4" xfId="804" xr:uid="{00000000-0005-0000-0000-000029030000}"/>
    <cellStyle name="Title 5" xfId="805" xr:uid="{00000000-0005-0000-0000-00002A030000}"/>
    <cellStyle name="Title 5 2" xfId="806" xr:uid="{00000000-0005-0000-0000-00002B030000}"/>
    <cellStyle name="Title 5 3" xfId="807" xr:uid="{00000000-0005-0000-0000-00002C030000}"/>
    <cellStyle name="Title 5 4" xfId="808" xr:uid="{00000000-0005-0000-0000-00002D030000}"/>
    <cellStyle name="Title 6" xfId="809" xr:uid="{00000000-0005-0000-0000-00002E030000}"/>
    <cellStyle name="Title 7" xfId="810" xr:uid="{00000000-0005-0000-0000-00002F030000}"/>
    <cellStyle name="Title 8" xfId="811" xr:uid="{00000000-0005-0000-0000-000030030000}"/>
    <cellStyle name="Title 9" xfId="812" xr:uid="{00000000-0005-0000-0000-000031030000}"/>
    <cellStyle name="Total" xfId="813" builtinId="25" customBuiltin="1"/>
    <cellStyle name="Total 10" xfId="814" xr:uid="{00000000-0005-0000-0000-000033030000}"/>
    <cellStyle name="Total 2" xfId="815" xr:uid="{00000000-0005-0000-0000-000034030000}"/>
    <cellStyle name="Total 2 2" xfId="816" xr:uid="{00000000-0005-0000-0000-000035030000}"/>
    <cellStyle name="Total 2 3" xfId="817" xr:uid="{00000000-0005-0000-0000-000036030000}"/>
    <cellStyle name="Total 2 4" xfId="818" xr:uid="{00000000-0005-0000-0000-000037030000}"/>
    <cellStyle name="Total 2 5" xfId="819" xr:uid="{00000000-0005-0000-0000-000038030000}"/>
    <cellStyle name="Total 3" xfId="820" xr:uid="{00000000-0005-0000-0000-000039030000}"/>
    <cellStyle name="Total 4" xfId="821" xr:uid="{00000000-0005-0000-0000-00003A030000}"/>
    <cellStyle name="Total 5" xfId="822" xr:uid="{00000000-0005-0000-0000-00003B030000}"/>
    <cellStyle name="Total 5 2" xfId="823" xr:uid="{00000000-0005-0000-0000-00003C030000}"/>
    <cellStyle name="Total 5 3" xfId="824" xr:uid="{00000000-0005-0000-0000-00003D030000}"/>
    <cellStyle name="Total 5 4" xfId="825" xr:uid="{00000000-0005-0000-0000-00003E030000}"/>
    <cellStyle name="Total 6" xfId="826" xr:uid="{00000000-0005-0000-0000-00003F030000}"/>
    <cellStyle name="Total 7" xfId="827" xr:uid="{00000000-0005-0000-0000-000040030000}"/>
    <cellStyle name="Total 8" xfId="828" xr:uid="{00000000-0005-0000-0000-000041030000}"/>
    <cellStyle name="Total 9" xfId="829" xr:uid="{00000000-0005-0000-0000-000042030000}"/>
    <cellStyle name="Warning Text" xfId="830" builtinId="11" customBuiltin="1"/>
    <cellStyle name="Warning Text 10" xfId="831" xr:uid="{00000000-0005-0000-0000-000044030000}"/>
    <cellStyle name="Warning Text 2" xfId="832" xr:uid="{00000000-0005-0000-0000-000045030000}"/>
    <cellStyle name="Warning Text 2 2" xfId="833" xr:uid="{00000000-0005-0000-0000-000046030000}"/>
    <cellStyle name="Warning Text 2 3" xfId="834" xr:uid="{00000000-0005-0000-0000-000047030000}"/>
    <cellStyle name="Warning Text 2 4" xfId="835" xr:uid="{00000000-0005-0000-0000-000048030000}"/>
    <cellStyle name="Warning Text 2 5" xfId="836" xr:uid="{00000000-0005-0000-0000-000049030000}"/>
    <cellStyle name="Warning Text 3" xfId="837" xr:uid="{00000000-0005-0000-0000-00004A030000}"/>
    <cellStyle name="Warning Text 4" xfId="838" xr:uid="{00000000-0005-0000-0000-00004B030000}"/>
    <cellStyle name="Warning Text 5" xfId="839" xr:uid="{00000000-0005-0000-0000-00004C030000}"/>
    <cellStyle name="Warning Text 5 2" xfId="840" xr:uid="{00000000-0005-0000-0000-00004D030000}"/>
    <cellStyle name="Warning Text 5 3" xfId="841" xr:uid="{00000000-0005-0000-0000-00004E030000}"/>
    <cellStyle name="Warning Text 5 4" xfId="842" xr:uid="{00000000-0005-0000-0000-00004F030000}"/>
    <cellStyle name="Warning Text 6" xfId="843" xr:uid="{00000000-0005-0000-0000-000050030000}"/>
    <cellStyle name="Warning Text 7" xfId="844" xr:uid="{00000000-0005-0000-0000-000051030000}"/>
    <cellStyle name="Warning Text 8" xfId="845" xr:uid="{00000000-0005-0000-0000-000052030000}"/>
    <cellStyle name="Warning Text 9" xfId="846" xr:uid="{00000000-0005-0000-0000-000053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12" dropStyle="combo" dx="16" fmlaLink="$T$10" fmlaRange="$AA$82:$AA$123" noThreeD="1" sel="1" val="0"/>
</file>

<file path=xl/ctrlProps/ctrlProp10.xml><?xml version="1.0" encoding="utf-8"?>
<formControlPr xmlns="http://schemas.microsoft.com/office/spreadsheetml/2009/9/main" objectType="Drop" dropLines="12" dropStyle="combo" dx="16" fmlaLink="$T$11" fmlaRange="$AA$82:$AA$123" noThreeD="1" sel="1" val="0"/>
</file>

<file path=xl/ctrlProps/ctrlProp11.xml><?xml version="1.0" encoding="utf-8"?>
<formControlPr xmlns="http://schemas.microsoft.com/office/spreadsheetml/2009/9/main" objectType="Drop" dropLines="12" dropStyle="combo" dx="16" fmlaLink="$T$12" fmlaRange="$AA$82:$AA$123" noThreeD="1" sel="1" val="0"/>
</file>

<file path=xl/ctrlProps/ctrlProp12.xml><?xml version="1.0" encoding="utf-8"?>
<formControlPr xmlns="http://schemas.microsoft.com/office/spreadsheetml/2009/9/main" objectType="CheckBox" checked="Checked" fmlaLink="$Z$8" lockText="1" noThreeD="1"/>
</file>

<file path=xl/ctrlProps/ctrlProp13.xml><?xml version="1.0" encoding="utf-8"?>
<formControlPr xmlns="http://schemas.microsoft.com/office/spreadsheetml/2009/9/main" objectType="Drop" dropLines="4" dropStyle="combo" dx="16" fmlaLink="$S$15" fmlaRange="$B$66:$B$69" noThreeD="1" sel="1" val="0"/>
</file>

<file path=xl/ctrlProps/ctrlProp14.xml><?xml version="1.0" encoding="utf-8"?>
<formControlPr xmlns="http://schemas.microsoft.com/office/spreadsheetml/2009/9/main" objectType="CheckBox" checked="Checked" fmlaLink="$Z$9" lockText="1" noThreeD="1"/>
</file>

<file path=xl/ctrlProps/ctrlProp15.xml><?xml version="1.0" encoding="utf-8"?>
<formControlPr xmlns="http://schemas.microsoft.com/office/spreadsheetml/2009/9/main" objectType="Drop" dropLines="12" dropStyle="combo" dx="16" fmlaLink="$S$11" fmlaRange="$N$90:$N$159" noThreeD="1" sel="1" val="0"/>
</file>

<file path=xl/ctrlProps/ctrlProp16.xml><?xml version="1.0" encoding="utf-8"?>
<formControlPr xmlns="http://schemas.microsoft.com/office/spreadsheetml/2009/9/main" objectType="Drop" dropLines="12" dropStyle="combo" dx="16" fmlaLink="$S$12" fmlaRange="$N$90:$N$159" noThreeD="1" sel="1" val="0"/>
</file>

<file path=xl/ctrlProps/ctrlProp17.xml><?xml version="1.0" encoding="utf-8"?>
<formControlPr xmlns="http://schemas.microsoft.com/office/spreadsheetml/2009/9/main" objectType="Drop" dropLines="12" dropStyle="combo" dx="16" fmlaLink="$S$13" fmlaRange="$N$90:$N$159" noThreeD="1" sel="1" val="0"/>
</file>

<file path=xl/ctrlProps/ctrlProp18.xml><?xml version="1.0" encoding="utf-8"?>
<formControlPr xmlns="http://schemas.microsoft.com/office/spreadsheetml/2009/9/main" objectType="Drop" dropLines="12" dropStyle="combo" dx="16" fmlaLink="$S$19" fmlaRange="$N$90:$N$159" noThreeD="1" sel="1" val="0"/>
</file>

<file path=xl/ctrlProps/ctrlProp19.xml><?xml version="1.0" encoding="utf-8"?>
<formControlPr xmlns="http://schemas.microsoft.com/office/spreadsheetml/2009/9/main" objectType="Drop" dropLines="12" dropStyle="combo" dx="16" fmlaLink="$S$20" fmlaRange="$N$90:$N$159" noThreeD="1" sel="1" val="0"/>
</file>

<file path=xl/ctrlProps/ctrlProp2.xml><?xml version="1.0" encoding="utf-8"?>
<formControlPr xmlns="http://schemas.microsoft.com/office/spreadsheetml/2009/9/main" objectType="Drop" dropLines="12" dropStyle="combo" dx="16" fmlaLink="$T$13" fmlaRange="$AA$82:$AA$123" noThreeD="1" sel="1" val="0"/>
</file>

<file path=xl/ctrlProps/ctrlProp20.xml><?xml version="1.0" encoding="utf-8"?>
<formControlPr xmlns="http://schemas.microsoft.com/office/spreadsheetml/2009/9/main" objectType="Drop" dropLines="12" dropStyle="combo" dx="16" fmlaLink="$S$28" fmlaRange="Roads!$B$75:$C$85" noThreeD="1" sel="2" val="0"/>
</file>

<file path=xl/ctrlProps/ctrlProp21.xml><?xml version="1.0" encoding="utf-8"?>
<formControlPr xmlns="http://schemas.microsoft.com/office/spreadsheetml/2009/9/main" objectType="Drop" dropLines="12" dropStyle="combo" dx="16" fmlaLink="$S$21" fmlaRange="$N$90:$N$159" noThreeD="1" sel="1" val="0"/>
</file>

<file path=xl/ctrlProps/ctrlProp22.xml><?xml version="1.0" encoding="utf-8"?>
<formControlPr xmlns="http://schemas.microsoft.com/office/spreadsheetml/2009/9/main" objectType="Drop" dropLines="4" dropStyle="combo" dx="16" fmlaLink="$S$7" fmlaRange="$B$63:$B$66" sel="1" val="0"/>
</file>

<file path=xl/ctrlProps/ctrlProp23.xml><?xml version="1.0" encoding="utf-8"?>
<formControlPr xmlns="http://schemas.microsoft.com/office/spreadsheetml/2009/9/main" objectType="Drop" dropLines="3" dropStyle="combo" dx="16" fmlaLink="$W$7" fmlaRange="$B$63:$B$65" sel="1" val="0"/>
</file>

<file path=xl/ctrlProps/ctrlProp24.xml><?xml version="1.0" encoding="utf-8"?>
<formControlPr xmlns="http://schemas.microsoft.com/office/spreadsheetml/2009/9/main" objectType="Drop" dropLines="12" dropStyle="combo" dx="16" fmlaLink="$W$11" fmlaRange="$P$72:$P$77" noThreeD="1" sel="1" val="0"/>
</file>

<file path=xl/ctrlProps/ctrlProp25.xml><?xml version="1.0" encoding="utf-8"?>
<formControlPr xmlns="http://schemas.microsoft.com/office/spreadsheetml/2009/9/main" objectType="Drop" dropLines="12" dropStyle="combo" dx="16" fmlaLink="$W$12" fmlaRange="$P$72:$P$77" noThreeD="1" sel="1" val="0"/>
</file>

<file path=xl/ctrlProps/ctrlProp26.xml><?xml version="1.0" encoding="utf-8"?>
<formControlPr xmlns="http://schemas.microsoft.com/office/spreadsheetml/2009/9/main" objectType="Drop" dropLines="12" dropStyle="combo" dx="16" fmlaLink="$W$13" fmlaRange="$P$72:$P$77" noThreeD="1" sel="1" val="0"/>
</file>

<file path=xl/ctrlProps/ctrlProp27.xml><?xml version="1.0" encoding="utf-8"?>
<formControlPr xmlns="http://schemas.microsoft.com/office/spreadsheetml/2009/9/main" objectType="Drop" dropLines="12" dropStyle="combo" dx="16" fmlaLink="$W$18" fmlaRange="$P$72:$P$77" noThreeD="1" sel="1" val="0"/>
</file>

<file path=xl/ctrlProps/ctrlProp28.xml><?xml version="1.0" encoding="utf-8"?>
<formControlPr xmlns="http://schemas.microsoft.com/office/spreadsheetml/2009/9/main" objectType="Drop" dropLines="12" dropStyle="combo" dx="16" fmlaLink="$W$19" fmlaRange="$P$72:$P$77" noThreeD="1" sel="1" val="0"/>
</file>

<file path=xl/ctrlProps/ctrlProp29.xml><?xml version="1.0" encoding="utf-8"?>
<formControlPr xmlns="http://schemas.microsoft.com/office/spreadsheetml/2009/9/main" objectType="Drop" dropLines="12" dropStyle="combo" dx="16" fmlaLink="$W$20" fmlaRange="$P$72:$P$77" noThreeD="1" sel="1" val="0"/>
</file>

<file path=xl/ctrlProps/ctrlProp3.xml><?xml version="1.0" encoding="utf-8"?>
<formControlPr xmlns="http://schemas.microsoft.com/office/spreadsheetml/2009/9/main" objectType="Drop" dropLines="12" dropStyle="combo" dx="16" fmlaLink="$T$14" fmlaRange="$AA$82:$AA$123" noThreeD="1" sel="1" val="0"/>
</file>

<file path=xl/ctrlProps/ctrlProp30.xml><?xml version="1.0" encoding="utf-8"?>
<formControlPr xmlns="http://schemas.microsoft.com/office/spreadsheetml/2009/9/main" objectType="Drop" dropLines="12" dropStyle="combo" dx="16" fmlaLink="$W$26" fmlaRange="$H$63:$H$65" noThreeD="1" sel="1" val="0"/>
</file>

<file path=xl/ctrlProps/ctrlProp31.xml><?xml version="1.0" encoding="utf-8"?>
<formControlPr xmlns="http://schemas.microsoft.com/office/spreadsheetml/2009/9/main" objectType="CheckBox" fmlaLink="$P$4" lockText="1" noThreeD="1"/>
</file>

<file path=xl/ctrlProps/ctrlProp32.xml><?xml version="1.0" encoding="utf-8"?>
<formControlPr xmlns="http://schemas.microsoft.com/office/spreadsheetml/2009/9/main" objectType="CheckBox" fmlaLink="$P$5" lockText="1" noThreeD="1"/>
</file>

<file path=xl/ctrlProps/ctrlProp33.xml><?xml version="1.0" encoding="utf-8"?>
<formControlPr xmlns="http://schemas.microsoft.com/office/spreadsheetml/2009/9/main" objectType="CheckBox" fmlaLink="$P$6" lockText="1" noThreeD="1"/>
</file>

<file path=xl/ctrlProps/ctrlProp34.xml><?xml version="1.0" encoding="utf-8"?>
<formControlPr xmlns="http://schemas.microsoft.com/office/spreadsheetml/2009/9/main" objectType="CheckBox" fmlaLink="$P$7" lockText="1" noThreeD="1"/>
</file>

<file path=xl/ctrlProps/ctrlProp35.xml><?xml version="1.0" encoding="utf-8"?>
<formControlPr xmlns="http://schemas.microsoft.com/office/spreadsheetml/2009/9/main" objectType="CheckBox" fmlaLink="$P$8" lockText="1" noThreeD="1"/>
</file>

<file path=xl/ctrlProps/ctrlProp36.xml><?xml version="1.0" encoding="utf-8"?>
<formControlPr xmlns="http://schemas.microsoft.com/office/spreadsheetml/2009/9/main" objectType="CheckBox" fmlaLink="$P$18" lockText="1" noThreeD="1"/>
</file>

<file path=xl/ctrlProps/ctrlProp37.xml><?xml version="1.0" encoding="utf-8"?>
<formControlPr xmlns="http://schemas.microsoft.com/office/spreadsheetml/2009/9/main" objectType="CheckBox" fmlaLink="$P$34" lockText="1" noThreeD="1"/>
</file>

<file path=xl/ctrlProps/ctrlProp38.xml><?xml version="1.0" encoding="utf-8"?>
<formControlPr xmlns="http://schemas.microsoft.com/office/spreadsheetml/2009/9/main" objectType="CheckBox" fmlaLink="$P$35" lockText="1" noThreeD="1"/>
</file>

<file path=xl/ctrlProps/ctrlProp39.xml><?xml version="1.0" encoding="utf-8"?>
<formControlPr xmlns="http://schemas.microsoft.com/office/spreadsheetml/2009/9/main" objectType="Drop" dropStyle="combo" dx="16" fmlaLink="$P$40" fmlaRange="$C$87:$C$121" noThreeD="1" sel="1" val="0"/>
</file>

<file path=xl/ctrlProps/ctrlProp4.xml><?xml version="1.0" encoding="utf-8"?>
<formControlPr xmlns="http://schemas.microsoft.com/office/spreadsheetml/2009/9/main" objectType="Drop" dropLines="12" dropStyle="combo" dx="16" fmlaLink="$T$22" fmlaRange="$AG$82:$AG$123" noThreeD="1" sel="1" val="0"/>
</file>

<file path=xl/ctrlProps/ctrlProp40.xml><?xml version="1.0" encoding="utf-8"?>
<formControlPr xmlns="http://schemas.microsoft.com/office/spreadsheetml/2009/9/main" objectType="Drop" dropStyle="combo" dx="16" fmlaLink="$P$41" fmlaRange="$C$87:$C$121" noThreeD="1" sel="1" val="0"/>
</file>

<file path=xl/ctrlProps/ctrlProp41.xml><?xml version="1.0" encoding="utf-8"?>
<formControlPr xmlns="http://schemas.microsoft.com/office/spreadsheetml/2009/9/main" objectType="Drop" dropStyle="combo" dx="16" fmlaLink="$P$42" fmlaRange="$C$87:$C$121" noThreeD="1" sel="1" val="0"/>
</file>

<file path=xl/ctrlProps/ctrlProp42.xml><?xml version="1.0" encoding="utf-8"?>
<formControlPr xmlns="http://schemas.microsoft.com/office/spreadsheetml/2009/9/main" objectType="CheckBox" fmlaLink="$P$56" lockText="1" noThreeD="1"/>
</file>

<file path=xl/ctrlProps/ctrlProp43.xml><?xml version="1.0" encoding="utf-8"?>
<formControlPr xmlns="http://schemas.microsoft.com/office/spreadsheetml/2009/9/main" objectType="CheckBox" fmlaLink="$P$57" lockText="1" noThreeD="1"/>
</file>

<file path=xl/ctrlProps/ctrlProp44.xml><?xml version="1.0" encoding="utf-8"?>
<formControlPr xmlns="http://schemas.microsoft.com/office/spreadsheetml/2009/9/main" objectType="CheckBox" fmlaLink="$P$58" lockText="1" noThreeD="1"/>
</file>

<file path=xl/ctrlProps/ctrlProp45.xml><?xml version="1.0" encoding="utf-8"?>
<formControlPr xmlns="http://schemas.microsoft.com/office/spreadsheetml/2009/9/main" objectType="CheckBox" fmlaLink="P17" lockText="1" noThreeD="1"/>
</file>

<file path=xl/ctrlProps/ctrlProp46.xml><?xml version="1.0" encoding="utf-8"?>
<formControlPr xmlns="http://schemas.microsoft.com/office/spreadsheetml/2009/9/main" objectType="CheckBox" fmlaLink="P33" lockText="1" noThreeD="1"/>
</file>

<file path=xl/ctrlProps/ctrlProp47.xml><?xml version="1.0" encoding="utf-8"?>
<formControlPr xmlns="http://schemas.microsoft.com/office/spreadsheetml/2009/9/main" objectType="CheckBox" fmlaLink="$AA$10" lockText="1" noThreeD="1"/>
</file>

<file path=xl/ctrlProps/ctrlProp48.xml><?xml version="1.0" encoding="utf-8"?>
<formControlPr xmlns="http://schemas.microsoft.com/office/spreadsheetml/2009/9/main" objectType="CheckBox" fmlaLink="$AA$12" lockText="1" noThreeD="1"/>
</file>

<file path=xl/ctrlProps/ctrlProp49.xml><?xml version="1.0" encoding="utf-8"?>
<formControlPr xmlns="http://schemas.microsoft.com/office/spreadsheetml/2009/9/main" objectType="CheckBox" fmlaLink="$AA$14" lockText="1" noThreeD="1"/>
</file>

<file path=xl/ctrlProps/ctrlProp5.xml><?xml version="1.0" encoding="utf-8"?>
<formControlPr xmlns="http://schemas.microsoft.com/office/spreadsheetml/2009/9/main" objectType="Drop" dropLines="12" dropStyle="combo" dx="16" fmlaLink="$T$23" fmlaRange="$AG$82:$AG$123" noThreeD="1" sel="1" val="0"/>
</file>

<file path=xl/ctrlProps/ctrlProp50.xml><?xml version="1.0" encoding="utf-8"?>
<formControlPr xmlns="http://schemas.microsoft.com/office/spreadsheetml/2009/9/main" objectType="CheckBox" fmlaLink="$AA$11" lockText="1" noThreeD="1"/>
</file>

<file path=xl/ctrlProps/ctrlProp51.xml><?xml version="1.0" encoding="utf-8"?>
<formControlPr xmlns="http://schemas.microsoft.com/office/spreadsheetml/2009/9/main" objectType="Drop" dropLines="12" dropStyle="combo" dx="16" fmlaLink="$AA$40" fmlaRange="$B$180:$B$255" noThreeD="1" sel="1" val="16"/>
</file>

<file path=xl/ctrlProps/ctrlProp52.xml><?xml version="1.0" encoding="utf-8"?>
<formControlPr xmlns="http://schemas.microsoft.com/office/spreadsheetml/2009/9/main" objectType="Drop" dropLines="12" dropStyle="combo" dx="16" fmlaLink="$AA$41" fmlaRange="$B$180:$B$255" noThreeD="1" sel="1" val="0"/>
</file>

<file path=xl/ctrlProps/ctrlProp53.xml><?xml version="1.0" encoding="utf-8"?>
<formControlPr xmlns="http://schemas.microsoft.com/office/spreadsheetml/2009/9/main" objectType="Drop" dropLines="12" dropStyle="combo" dx="16" fmlaLink="$AA$42" fmlaRange="$B$180:$B$255" noThreeD="1" sel="1" val="0"/>
</file>

<file path=xl/ctrlProps/ctrlProp54.xml><?xml version="1.0" encoding="utf-8"?>
<formControlPr xmlns="http://schemas.microsoft.com/office/spreadsheetml/2009/9/main" objectType="Drop" dropLines="12" dropStyle="combo" dx="16" fmlaLink="$AA$43" fmlaRange="$B$180:$B$255" noThreeD="1" sel="1" val="0"/>
</file>

<file path=xl/ctrlProps/ctrlProp55.xml><?xml version="1.0" encoding="utf-8"?>
<formControlPr xmlns="http://schemas.microsoft.com/office/spreadsheetml/2009/9/main" objectType="Drop" dropLines="12" dropStyle="combo" dx="16" fmlaLink="$AA$44" fmlaRange="$B$180:$B$255" noThreeD="1" sel="1" val="0"/>
</file>

<file path=xl/ctrlProps/ctrlProp56.xml><?xml version="1.0" encoding="utf-8"?>
<formControlPr xmlns="http://schemas.microsoft.com/office/spreadsheetml/2009/9/main" objectType="Drop" dropLines="12" dropStyle="combo" dx="16" fmlaLink="$AA$53" fmlaRange="$B$261:$B$276" noThreeD="1" sel="1" val="0"/>
</file>

<file path=xl/ctrlProps/ctrlProp57.xml><?xml version="1.0" encoding="utf-8"?>
<formControlPr xmlns="http://schemas.microsoft.com/office/spreadsheetml/2009/9/main" objectType="Drop" dropLines="12" dropStyle="combo" dx="16" fmlaLink="$AA$54" fmlaRange="$B$261:$B$276" noThreeD="1" sel="1" val="0"/>
</file>

<file path=xl/ctrlProps/ctrlProp58.xml><?xml version="1.0" encoding="utf-8"?>
<formControlPr xmlns="http://schemas.microsoft.com/office/spreadsheetml/2009/9/main" objectType="Drop" dropLines="12" dropStyle="combo" dx="16" fmlaLink="$AA$55" fmlaRange="$B$261:$B$276" noThreeD="1" sel="1" val="0"/>
</file>

<file path=xl/ctrlProps/ctrlProp59.xml><?xml version="1.0" encoding="utf-8"?>
<formControlPr xmlns="http://schemas.microsoft.com/office/spreadsheetml/2009/9/main" objectType="Drop" dropLines="12" dropStyle="combo" dx="16" fmlaLink="$AA$56" fmlaRange="$B$261:$B$276" noThreeD="1" sel="1" val="0"/>
</file>

<file path=xl/ctrlProps/ctrlProp6.xml><?xml version="1.0" encoding="utf-8"?>
<formControlPr xmlns="http://schemas.microsoft.com/office/spreadsheetml/2009/9/main" objectType="Drop" dropLines="12" dropStyle="combo" dx="16" fmlaLink="$T$31" fmlaRange="$B$72:$B$76" noThreeD="1" sel="2" val="0"/>
</file>

<file path=xl/ctrlProps/ctrlProp60.xml><?xml version="1.0" encoding="utf-8"?>
<formControlPr xmlns="http://schemas.microsoft.com/office/spreadsheetml/2009/9/main" objectType="Drop" dropLines="12" dropStyle="combo" dx="16" fmlaLink="$AA$57" fmlaRange="$B$261:$B$276" noThreeD="1" sel="1" val="0"/>
</file>

<file path=xl/ctrlProps/ctrlProp61.xml><?xml version="1.0" encoding="utf-8"?>
<formControlPr xmlns="http://schemas.microsoft.com/office/spreadsheetml/2009/9/main" objectType="Drop" dropLines="12" dropStyle="combo" dx="16" fmlaLink="$AA$44" fmlaRange="$B$261:$B$276" noThreeD="1" sel="1" val="4"/>
</file>

<file path=xl/ctrlProps/ctrlProp62.xml><?xml version="1.0" encoding="utf-8"?>
<formControlPr xmlns="http://schemas.microsoft.com/office/spreadsheetml/2009/9/main" objectType="Drop" dropLines="12" dropStyle="combo" dx="16" fmlaLink="$AA$86" fmlaRange="$B$180:$B$255" noThreeD="1" sel="1" val="0"/>
</file>

<file path=xl/ctrlProps/ctrlProp63.xml><?xml version="1.0" encoding="utf-8"?>
<formControlPr xmlns="http://schemas.microsoft.com/office/spreadsheetml/2009/9/main" objectType="Drop" dropLines="12" dropStyle="combo" dx="16" fmlaLink="$AA$87" fmlaRange="$B$180:$B$255" noThreeD="1" sel="1" val="0"/>
</file>

<file path=xl/ctrlProps/ctrlProp64.xml><?xml version="1.0" encoding="utf-8"?>
<formControlPr xmlns="http://schemas.microsoft.com/office/spreadsheetml/2009/9/main" objectType="Drop" dropLines="12" dropStyle="combo" dx="16" fmlaLink="$AA$88" fmlaRange="$B$180:$B$255" noThreeD="1" sel="1" val="60"/>
</file>

<file path=xl/ctrlProps/ctrlProp65.xml><?xml version="1.0" encoding="utf-8"?>
<formControlPr xmlns="http://schemas.microsoft.com/office/spreadsheetml/2009/9/main" objectType="Drop" dropLines="12" dropStyle="combo" dx="16" fmlaLink="$AA$89" fmlaRange="$B$180:$B$255" noThreeD="1" sel="1" val="0"/>
</file>

<file path=xl/ctrlProps/ctrlProp66.xml><?xml version="1.0" encoding="utf-8"?>
<formControlPr xmlns="http://schemas.microsoft.com/office/spreadsheetml/2009/9/main" objectType="Drop" dropLines="12" dropStyle="combo" dx="16" fmlaLink="$AA$90" fmlaRange="$B$180:$B$255" noThreeD="1" sel="1" val="0"/>
</file>

<file path=xl/ctrlProps/ctrlProp67.xml><?xml version="1.0" encoding="utf-8"?>
<formControlPr xmlns="http://schemas.microsoft.com/office/spreadsheetml/2009/9/main" objectType="Drop" dropLines="12" dropStyle="combo" dx="16" fmlaLink="$AA$99" fmlaRange="$B$261:$B$276" noThreeD="1" sel="1" val="0"/>
</file>

<file path=xl/ctrlProps/ctrlProp68.xml><?xml version="1.0" encoding="utf-8"?>
<formControlPr xmlns="http://schemas.microsoft.com/office/spreadsheetml/2009/9/main" objectType="Drop" dropLines="12" dropStyle="combo" dx="16" fmlaLink="$AA$100" fmlaRange="$B$261:$B$276" noThreeD="1" sel="1" val="0"/>
</file>

<file path=xl/ctrlProps/ctrlProp69.xml><?xml version="1.0" encoding="utf-8"?>
<formControlPr xmlns="http://schemas.microsoft.com/office/spreadsheetml/2009/9/main" objectType="Drop" dropLines="12" dropStyle="combo" dx="16" fmlaLink="$AA$101" fmlaRange="$B$261:$B$276" noThreeD="1" sel="1" val="0"/>
</file>

<file path=xl/ctrlProps/ctrlProp7.xml><?xml version="1.0" encoding="utf-8"?>
<formControlPr xmlns="http://schemas.microsoft.com/office/spreadsheetml/2009/9/main" objectType="Drop" dropLines="3" dropStyle="combo" dx="16" fmlaLink="$T$6" fmlaRange="$B$65:$B$67" noThreeD="1" sel="3" val="0"/>
</file>

<file path=xl/ctrlProps/ctrlProp70.xml><?xml version="1.0" encoding="utf-8"?>
<formControlPr xmlns="http://schemas.microsoft.com/office/spreadsheetml/2009/9/main" objectType="Drop" dropLines="12" dropStyle="combo" dx="16" fmlaLink="$AA$102" fmlaRange="$B$261:$B$276" noThreeD="1" sel="1" val="0"/>
</file>

<file path=xl/ctrlProps/ctrlProp71.xml><?xml version="1.0" encoding="utf-8"?>
<formControlPr xmlns="http://schemas.microsoft.com/office/spreadsheetml/2009/9/main" objectType="Drop" dropLines="12" dropStyle="combo" dx="16" fmlaLink="$AA$57" fmlaRange="$B$261:$B$276" noThreeD="1" sel="1" val="0"/>
</file>

<file path=xl/ctrlProps/ctrlProp72.xml><?xml version="1.0" encoding="utf-8"?>
<formControlPr xmlns="http://schemas.microsoft.com/office/spreadsheetml/2009/9/main" objectType="Drop" dropLines="12" dropStyle="combo" dx="16" fmlaLink="$AA$103" fmlaRange="$B$261:$B$276" noThreeD="1" sel="1" val="0"/>
</file>

<file path=xl/ctrlProps/ctrlProp73.xml><?xml version="1.0" encoding="utf-8"?>
<formControlPr xmlns="http://schemas.microsoft.com/office/spreadsheetml/2009/9/main" objectType="CheckBox" fmlaLink="$AA$13" lockText="1" noThreeD="1"/>
</file>

<file path=xl/ctrlProps/ctrlProp8.xml><?xml version="1.0" encoding="utf-8"?>
<formControlPr xmlns="http://schemas.microsoft.com/office/spreadsheetml/2009/9/main" objectType="Drop" dropLines="12" dropStyle="combo" dx="16" fmlaLink="$T$24" fmlaRange="$AG$82:$AG$123" noThreeD="1" sel="1" val="0"/>
</file>

<file path=xl/ctrlProps/ctrlProp9.xml><?xml version="1.0" encoding="utf-8"?>
<formControlPr xmlns="http://schemas.microsoft.com/office/spreadsheetml/2009/9/main" objectType="Drop" dropStyle="combo" dx="16" fmlaLink="$T$19" fmlaRange="$H$70:$H$75"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mmary!Print_Area"/></Relationships>
</file>

<file path=xl/drawings/_rels/drawing3.xml.rels><?xml version="1.0" encoding="UTF-8" standalone="yes"?>
<Relationships xmlns="http://schemas.openxmlformats.org/package/2006/relationships"><Relationship Id="rId1" Type="http://schemas.openxmlformats.org/officeDocument/2006/relationships/hyperlink" Target="#'Sewer &amp; Wat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Open Space'!Print_Area"/></Relationships>
</file>

<file path=xl/drawings/_rels/drawing5.xml.rels><?xml version="1.0" encoding="UTF-8" standalone="yes"?>
<Relationships xmlns="http://schemas.openxmlformats.org/package/2006/relationships"><Relationship Id="rId1" Type="http://schemas.openxmlformats.org/officeDocument/2006/relationships/hyperlink" Target="#'Car Parking'!Print_Area"/></Relationships>
</file>

<file path=xl/drawings/_rels/drawing6.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8.xml.rels><?xml version="1.0" encoding="UTF-8" standalone="yes"?>
<Relationships xmlns="http://schemas.openxmlformats.org/package/2006/relationships"><Relationship Id="rId1" Type="http://schemas.openxmlformats.org/officeDocument/2006/relationships/hyperlink" Target="#'Road Waiver'!A126"/></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114300</xdr:rowOff>
    </xdr:from>
    <xdr:to>
      <xdr:col>13</xdr:col>
      <xdr:colOff>504825</xdr:colOff>
      <xdr:row>4</xdr:row>
      <xdr:rowOff>238125</xdr:rowOff>
    </xdr:to>
    <xdr:pic>
      <xdr:nvPicPr>
        <xdr:cNvPr id="1039" name="Picture 1" descr="CT_Main_Greyscale">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0"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14</xdr:col>
      <xdr:colOff>152400</xdr:colOff>
      <xdr:row>36</xdr:row>
      <xdr:rowOff>21981</xdr:rowOff>
    </xdr:to>
    <xdr:sp macro="" textlink="">
      <xdr:nvSpPr>
        <xdr:cNvPr id="1040" name="Rectangle 2">
          <a:extLst>
            <a:ext uri="{FF2B5EF4-FFF2-40B4-BE49-F238E27FC236}">
              <a16:creationId xmlns:a16="http://schemas.microsoft.com/office/drawing/2014/main" id="{00000000-0008-0000-0000-000010040000}"/>
            </a:ext>
          </a:extLst>
        </xdr:cNvPr>
        <xdr:cNvSpPr>
          <a:spLocks noChangeArrowheads="1"/>
        </xdr:cNvSpPr>
      </xdr:nvSpPr>
      <xdr:spPr bwMode="auto">
        <a:xfrm>
          <a:off x="85725" y="66675"/>
          <a:ext cx="8118963" cy="6534883"/>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2</xdr:row>
      <xdr:rowOff>20955</xdr:rowOff>
    </xdr:from>
    <xdr:to>
      <xdr:col>12</xdr:col>
      <xdr:colOff>1905</xdr:colOff>
      <xdr:row>7</xdr:row>
      <xdr:rowOff>114298</xdr:rowOff>
    </xdr:to>
    <xdr:sp macro="" textlink="">
      <xdr:nvSpPr>
        <xdr:cNvPr id="17410" name="Text Box 2">
          <a:extLst>
            <a:ext uri="{FF2B5EF4-FFF2-40B4-BE49-F238E27FC236}">
              <a16:creationId xmlns:a16="http://schemas.microsoft.com/office/drawing/2014/main" id="{00000000-0008-0000-0A00-000002440000}"/>
            </a:ext>
          </a:extLst>
        </xdr:cNvPr>
        <xdr:cNvSpPr txBox="1">
          <a:spLocks noChangeArrowheads="1"/>
        </xdr:cNvSpPr>
      </xdr:nvSpPr>
      <xdr:spPr bwMode="auto">
        <a:xfrm>
          <a:off x="171450" y="419100"/>
          <a:ext cx="9686925" cy="1200150"/>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made a resolution on 26 June 2012 to the extent that development within the PIA, consistent with the planning scheme and infrastructure planning may be eligble for infrastructure contribution waivers such that local government infrastructure contributions payable do not exceed the amounts suggested by </a:t>
          </a:r>
          <a:r>
            <a:rPr lang="en-AU" sz="1000" b="0" i="1" u="none" strike="noStrike" baseline="0">
              <a:solidFill>
                <a:srgbClr val="000000"/>
              </a:solidFill>
              <a:latin typeface="Arial"/>
              <a:cs typeface="Arial"/>
            </a:rPr>
            <a:t>Queensland Government response to the report by the infrastructure charges taskforce </a:t>
          </a:r>
          <a:r>
            <a:rPr lang="en-AU" sz="1000" b="0" i="0" u="none" strike="noStrike" baseline="0">
              <a:solidFill>
                <a:srgbClr val="000000"/>
              </a:solidFill>
              <a:latin typeface="Arial"/>
              <a:cs typeface="Arial"/>
            </a:rPr>
            <a:t>(April, 2011). Criteria about the approval and commencement status of the development, and conditions of approval also apply.</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was also empowered to waiver contributions towards local function of State Controlled Roads, and included in the resolution to do so on the same terms, and for the duration that the delegation of that power remains in agreement with the Department of Transport and Main Roads .</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0</xdr:col>
          <xdr:colOff>198120</xdr:colOff>
          <xdr:row>9</xdr:row>
          <xdr:rowOff>0</xdr:rowOff>
        </xdr:from>
        <xdr:to>
          <xdr:col>15</xdr:col>
          <xdr:colOff>160020</xdr:colOff>
          <xdr:row>9</xdr:row>
          <xdr:rowOff>182880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average density (e.g., lot size, dwellings, population) is consistent with the specific outcomes and probable solutions of the planning scheme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198120</xdr:colOff>
          <xdr:row>10</xdr:row>
          <xdr:rowOff>182880</xdr:rowOff>
        </xdr:from>
        <xdr:to>
          <xdr:col>10</xdr:col>
          <xdr:colOff>388620</xdr:colOff>
          <xdr:row>11</xdr:row>
          <xdr:rowOff>182880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A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located within the Priority Infrastructure Area (pp.17k-17p of City Plan Policy 3 - Contributions)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213360</xdr:colOff>
          <xdr:row>13</xdr:row>
          <xdr:rowOff>7620</xdr:rowOff>
        </xdr:from>
        <xdr:to>
          <xdr:col>10</xdr:col>
          <xdr:colOff>403860</xdr:colOff>
          <xdr:row>14</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A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Payment of contributions are to be made between 1 July 2012 and 30 June 2014.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198120</xdr:colOff>
          <xdr:row>9</xdr:row>
          <xdr:rowOff>190500</xdr:rowOff>
        </xdr:from>
        <xdr:to>
          <xdr:col>8</xdr:col>
          <xdr:colOff>137160</xdr:colOff>
          <xdr:row>10</xdr:row>
          <xdr:rowOff>190500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A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otherwise consistent with the specific outcomes and probable solutions of the planning scheme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5</xdr:col>
          <xdr:colOff>7620</xdr:colOff>
          <xdr:row>40</xdr:row>
          <xdr:rowOff>22860</xdr:rowOff>
        </xdr:to>
        <xdr:sp macro="" textlink="">
          <xdr:nvSpPr>
            <xdr:cNvPr id="17447" name="Drop Down 39" hidden="1">
              <a:extLst>
                <a:ext uri="{63B3BB69-23CF-44E3-9099-C40C66FF867C}">
                  <a14:compatExt spid="_x0000_s17447"/>
                </a:ext>
                <a:ext uri="{FF2B5EF4-FFF2-40B4-BE49-F238E27FC236}">
                  <a16:creationId xmlns:a16="http://schemas.microsoft.com/office/drawing/2014/main" id="{00000000-0008-0000-0A00-00002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7620</xdr:rowOff>
        </xdr:from>
        <xdr:to>
          <xdr:col>5</xdr:col>
          <xdr:colOff>7620</xdr:colOff>
          <xdr:row>41</xdr:row>
          <xdr:rowOff>22860</xdr:rowOff>
        </xdr:to>
        <xdr:sp macro="" textlink="">
          <xdr:nvSpPr>
            <xdr:cNvPr id="17453" name="Drop Down 45" hidden="1">
              <a:extLst>
                <a:ext uri="{63B3BB69-23CF-44E3-9099-C40C66FF867C}">
                  <a14:compatExt spid="_x0000_s17453"/>
                </a:ext>
                <a:ext uri="{FF2B5EF4-FFF2-40B4-BE49-F238E27FC236}">
                  <a16:creationId xmlns:a16="http://schemas.microsoft.com/office/drawing/2014/main" id="{00000000-0008-0000-0A00-00002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7620</xdr:rowOff>
        </xdr:from>
        <xdr:to>
          <xdr:col>5</xdr:col>
          <xdr:colOff>7620</xdr:colOff>
          <xdr:row>42</xdr:row>
          <xdr:rowOff>7620</xdr:rowOff>
        </xdr:to>
        <xdr:sp macro="" textlink="">
          <xdr:nvSpPr>
            <xdr:cNvPr id="17454" name="Drop Down 46" hidden="1">
              <a:extLst>
                <a:ext uri="{63B3BB69-23CF-44E3-9099-C40C66FF867C}">
                  <a14:compatExt spid="_x0000_s17454"/>
                </a:ext>
                <a:ext uri="{FF2B5EF4-FFF2-40B4-BE49-F238E27FC236}">
                  <a16:creationId xmlns:a16="http://schemas.microsoft.com/office/drawing/2014/main" id="{00000000-0008-0000-0A00-00002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5</xdr:col>
          <xdr:colOff>7620</xdr:colOff>
          <xdr:row>43</xdr:row>
          <xdr:rowOff>7620</xdr:rowOff>
        </xdr:to>
        <xdr:sp macro="" textlink="">
          <xdr:nvSpPr>
            <xdr:cNvPr id="17455" name="Drop Down 47" hidden="1">
              <a:extLst>
                <a:ext uri="{63B3BB69-23CF-44E3-9099-C40C66FF867C}">
                  <a14:compatExt spid="_x0000_s17455"/>
                </a:ext>
                <a:ext uri="{FF2B5EF4-FFF2-40B4-BE49-F238E27FC236}">
                  <a16:creationId xmlns:a16="http://schemas.microsoft.com/office/drawing/2014/main" id="{00000000-0008-0000-0A00-00002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5</xdr:col>
          <xdr:colOff>7620</xdr:colOff>
          <xdr:row>44</xdr:row>
          <xdr:rowOff>7620</xdr:rowOff>
        </xdr:to>
        <xdr:sp macro="" textlink="">
          <xdr:nvSpPr>
            <xdr:cNvPr id="17456" name="Drop Down 48" hidden="1">
              <a:extLst>
                <a:ext uri="{63B3BB69-23CF-44E3-9099-C40C66FF867C}">
                  <a14:compatExt spid="_x0000_s17456"/>
                </a:ext>
                <a:ext uri="{FF2B5EF4-FFF2-40B4-BE49-F238E27FC236}">
                  <a16:creationId xmlns:a16="http://schemas.microsoft.com/office/drawing/2014/main" id="{00000000-0008-0000-0A00-00003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5</xdr:col>
          <xdr:colOff>0</xdr:colOff>
          <xdr:row>53</xdr:row>
          <xdr:rowOff>7620</xdr:rowOff>
        </xdr:to>
        <xdr:sp macro="" textlink="">
          <xdr:nvSpPr>
            <xdr:cNvPr id="17464" name="Drop Down 56" hidden="1">
              <a:extLst>
                <a:ext uri="{63B3BB69-23CF-44E3-9099-C40C66FF867C}">
                  <a14:compatExt spid="_x0000_s17464"/>
                </a:ext>
                <a:ext uri="{FF2B5EF4-FFF2-40B4-BE49-F238E27FC236}">
                  <a16:creationId xmlns:a16="http://schemas.microsoft.com/office/drawing/2014/main" id="{00000000-0008-0000-0A00-00003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7620</xdr:rowOff>
        </xdr:from>
        <xdr:to>
          <xdr:col>5</xdr:col>
          <xdr:colOff>0</xdr:colOff>
          <xdr:row>54</xdr:row>
          <xdr:rowOff>7620</xdr:rowOff>
        </xdr:to>
        <xdr:sp macro="" textlink="">
          <xdr:nvSpPr>
            <xdr:cNvPr id="17465" name="Drop Down 57" hidden="1">
              <a:extLst>
                <a:ext uri="{63B3BB69-23CF-44E3-9099-C40C66FF867C}">
                  <a14:compatExt spid="_x0000_s17465"/>
                </a:ext>
                <a:ext uri="{FF2B5EF4-FFF2-40B4-BE49-F238E27FC236}">
                  <a16:creationId xmlns:a16="http://schemas.microsoft.com/office/drawing/2014/main" id="{00000000-0008-0000-0A00-00003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7620</xdr:rowOff>
        </xdr:from>
        <xdr:to>
          <xdr:col>5</xdr:col>
          <xdr:colOff>0</xdr:colOff>
          <xdr:row>55</xdr:row>
          <xdr:rowOff>7620</xdr:rowOff>
        </xdr:to>
        <xdr:sp macro="" textlink="">
          <xdr:nvSpPr>
            <xdr:cNvPr id="17466" name="Drop Down 58" hidden="1">
              <a:extLst>
                <a:ext uri="{63B3BB69-23CF-44E3-9099-C40C66FF867C}">
                  <a14:compatExt spid="_x0000_s17466"/>
                </a:ext>
                <a:ext uri="{FF2B5EF4-FFF2-40B4-BE49-F238E27FC236}">
                  <a16:creationId xmlns:a16="http://schemas.microsoft.com/office/drawing/2014/main" id="{00000000-0008-0000-0A00-00003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5</xdr:col>
          <xdr:colOff>0</xdr:colOff>
          <xdr:row>56</xdr:row>
          <xdr:rowOff>7620</xdr:rowOff>
        </xdr:to>
        <xdr:sp macro="" textlink="">
          <xdr:nvSpPr>
            <xdr:cNvPr id="17467" name="Drop Down 59" hidden="1">
              <a:extLst>
                <a:ext uri="{63B3BB69-23CF-44E3-9099-C40C66FF867C}">
                  <a14:compatExt spid="_x0000_s17467"/>
                </a:ext>
                <a:ext uri="{FF2B5EF4-FFF2-40B4-BE49-F238E27FC236}">
                  <a16:creationId xmlns:a16="http://schemas.microsoft.com/office/drawing/2014/main" id="{00000000-0008-0000-0A00-00003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3</xdr:col>
          <xdr:colOff>213360</xdr:colOff>
          <xdr:row>57</xdr:row>
          <xdr:rowOff>7620</xdr:rowOff>
        </xdr:to>
        <xdr:sp macro="" textlink="">
          <xdr:nvSpPr>
            <xdr:cNvPr id="17468" name="Drop Down 60" hidden="1">
              <a:extLst>
                <a:ext uri="{63B3BB69-23CF-44E3-9099-C40C66FF867C}">
                  <a14:compatExt spid="_x0000_s17468"/>
                </a:ext>
                <a:ext uri="{FF2B5EF4-FFF2-40B4-BE49-F238E27FC236}">
                  <a16:creationId xmlns:a16="http://schemas.microsoft.com/office/drawing/2014/main" id="{00000000-0008-0000-0A00-00003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5</xdr:col>
          <xdr:colOff>0</xdr:colOff>
          <xdr:row>57</xdr:row>
          <xdr:rowOff>7620</xdr:rowOff>
        </xdr:to>
        <xdr:sp macro="" textlink="">
          <xdr:nvSpPr>
            <xdr:cNvPr id="17474" name="Drop Down 66" hidden="1">
              <a:extLst>
                <a:ext uri="{63B3BB69-23CF-44E3-9099-C40C66FF867C}">
                  <a14:compatExt spid="_x0000_s17474"/>
                </a:ext>
                <a:ext uri="{FF2B5EF4-FFF2-40B4-BE49-F238E27FC236}">
                  <a16:creationId xmlns:a16="http://schemas.microsoft.com/office/drawing/2014/main" id="{00000000-0008-0000-0A00-00004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5</xdr:col>
          <xdr:colOff>0</xdr:colOff>
          <xdr:row>86</xdr:row>
          <xdr:rowOff>22860</xdr:rowOff>
        </xdr:to>
        <xdr:sp macro="" textlink="">
          <xdr:nvSpPr>
            <xdr:cNvPr id="17495" name="Drop Down 87" hidden="1">
              <a:extLst>
                <a:ext uri="{63B3BB69-23CF-44E3-9099-C40C66FF867C}">
                  <a14:compatExt spid="_x0000_s17495"/>
                </a:ext>
                <a:ext uri="{FF2B5EF4-FFF2-40B4-BE49-F238E27FC236}">
                  <a16:creationId xmlns:a16="http://schemas.microsoft.com/office/drawing/2014/main" id="{00000000-0008-0000-0A00-00005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7620</xdr:rowOff>
        </xdr:from>
        <xdr:to>
          <xdr:col>5</xdr:col>
          <xdr:colOff>0</xdr:colOff>
          <xdr:row>87</xdr:row>
          <xdr:rowOff>30480</xdr:rowOff>
        </xdr:to>
        <xdr:sp macro="" textlink="">
          <xdr:nvSpPr>
            <xdr:cNvPr id="17496" name="Drop Down 88" hidden="1">
              <a:extLst>
                <a:ext uri="{63B3BB69-23CF-44E3-9099-C40C66FF867C}">
                  <a14:compatExt spid="_x0000_s17496"/>
                </a:ext>
                <a:ext uri="{FF2B5EF4-FFF2-40B4-BE49-F238E27FC236}">
                  <a16:creationId xmlns:a16="http://schemas.microsoft.com/office/drawing/2014/main" id="{00000000-0008-0000-0A00-00005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5</xdr:col>
          <xdr:colOff>0</xdr:colOff>
          <xdr:row>88</xdr:row>
          <xdr:rowOff>7620</xdr:rowOff>
        </xdr:to>
        <xdr:sp macro="" textlink="">
          <xdr:nvSpPr>
            <xdr:cNvPr id="17497" name="Drop Down 89" hidden="1">
              <a:extLst>
                <a:ext uri="{63B3BB69-23CF-44E3-9099-C40C66FF867C}">
                  <a14:compatExt spid="_x0000_s17497"/>
                </a:ext>
                <a:ext uri="{FF2B5EF4-FFF2-40B4-BE49-F238E27FC236}">
                  <a16:creationId xmlns:a16="http://schemas.microsoft.com/office/drawing/2014/main" id="{00000000-0008-0000-0A00-00005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5</xdr:col>
          <xdr:colOff>0</xdr:colOff>
          <xdr:row>89</xdr:row>
          <xdr:rowOff>7620</xdr:rowOff>
        </xdr:to>
        <xdr:sp macro="" textlink="">
          <xdr:nvSpPr>
            <xdr:cNvPr id="17498" name="Drop Down 90" hidden="1">
              <a:extLst>
                <a:ext uri="{63B3BB69-23CF-44E3-9099-C40C66FF867C}">
                  <a14:compatExt spid="_x0000_s17498"/>
                </a:ext>
                <a:ext uri="{FF2B5EF4-FFF2-40B4-BE49-F238E27FC236}">
                  <a16:creationId xmlns:a16="http://schemas.microsoft.com/office/drawing/2014/main" id="{00000000-0008-0000-0A00-00005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5</xdr:col>
          <xdr:colOff>0</xdr:colOff>
          <xdr:row>90</xdr:row>
          <xdr:rowOff>7620</xdr:rowOff>
        </xdr:to>
        <xdr:sp macro="" textlink="">
          <xdr:nvSpPr>
            <xdr:cNvPr id="17499" name="Drop Down 91" hidden="1">
              <a:extLst>
                <a:ext uri="{63B3BB69-23CF-44E3-9099-C40C66FF867C}">
                  <a14:compatExt spid="_x0000_s17499"/>
                </a:ext>
                <a:ext uri="{FF2B5EF4-FFF2-40B4-BE49-F238E27FC236}">
                  <a16:creationId xmlns:a16="http://schemas.microsoft.com/office/drawing/2014/main" id="{00000000-0008-0000-0A00-00005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7620</xdr:rowOff>
        </xdr:from>
        <xdr:to>
          <xdr:col>5</xdr:col>
          <xdr:colOff>0</xdr:colOff>
          <xdr:row>99</xdr:row>
          <xdr:rowOff>22860</xdr:rowOff>
        </xdr:to>
        <xdr:sp macro="" textlink="">
          <xdr:nvSpPr>
            <xdr:cNvPr id="17500" name="Drop Down 92" hidden="1">
              <a:extLst>
                <a:ext uri="{63B3BB69-23CF-44E3-9099-C40C66FF867C}">
                  <a14:compatExt spid="_x0000_s17500"/>
                </a:ext>
                <a:ext uri="{FF2B5EF4-FFF2-40B4-BE49-F238E27FC236}">
                  <a16:creationId xmlns:a16="http://schemas.microsoft.com/office/drawing/2014/main" id="{00000000-0008-0000-0A00-00005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22860</xdr:rowOff>
        </xdr:from>
        <xdr:to>
          <xdr:col>5</xdr:col>
          <xdr:colOff>7620</xdr:colOff>
          <xdr:row>100</xdr:row>
          <xdr:rowOff>30480</xdr:rowOff>
        </xdr:to>
        <xdr:sp macro="" textlink="">
          <xdr:nvSpPr>
            <xdr:cNvPr id="17501" name="Drop Down 93" hidden="1">
              <a:extLst>
                <a:ext uri="{63B3BB69-23CF-44E3-9099-C40C66FF867C}">
                  <a14:compatExt spid="_x0000_s17501"/>
                </a:ext>
                <a:ext uri="{FF2B5EF4-FFF2-40B4-BE49-F238E27FC236}">
                  <a16:creationId xmlns:a16="http://schemas.microsoft.com/office/drawing/2014/main" id="{00000000-0008-0000-0A00-00005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5</xdr:col>
          <xdr:colOff>7620</xdr:colOff>
          <xdr:row>101</xdr:row>
          <xdr:rowOff>7620</xdr:rowOff>
        </xdr:to>
        <xdr:sp macro="" textlink="">
          <xdr:nvSpPr>
            <xdr:cNvPr id="17502" name="Drop Down 94" hidden="1">
              <a:extLst>
                <a:ext uri="{63B3BB69-23CF-44E3-9099-C40C66FF867C}">
                  <a14:compatExt spid="_x0000_s17502"/>
                </a:ext>
                <a:ext uri="{FF2B5EF4-FFF2-40B4-BE49-F238E27FC236}">
                  <a16:creationId xmlns:a16="http://schemas.microsoft.com/office/drawing/2014/main" id="{00000000-0008-0000-0A00-00005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0</xdr:rowOff>
        </xdr:from>
        <xdr:to>
          <xdr:col>5</xdr:col>
          <xdr:colOff>7620</xdr:colOff>
          <xdr:row>102</xdr:row>
          <xdr:rowOff>7620</xdr:rowOff>
        </xdr:to>
        <xdr:sp macro="" textlink="">
          <xdr:nvSpPr>
            <xdr:cNvPr id="17503" name="Drop Down 95" hidden="1">
              <a:extLst>
                <a:ext uri="{63B3BB69-23CF-44E3-9099-C40C66FF867C}">
                  <a14:compatExt spid="_x0000_s17503"/>
                </a:ext>
                <a:ext uri="{FF2B5EF4-FFF2-40B4-BE49-F238E27FC236}">
                  <a16:creationId xmlns:a16="http://schemas.microsoft.com/office/drawing/2014/main" id="{00000000-0008-0000-0A00-00005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3</xdr:col>
          <xdr:colOff>213360</xdr:colOff>
          <xdr:row>103</xdr:row>
          <xdr:rowOff>7620</xdr:rowOff>
        </xdr:to>
        <xdr:sp macro="" textlink="">
          <xdr:nvSpPr>
            <xdr:cNvPr id="17504" name="Drop Down 96" hidden="1">
              <a:extLst>
                <a:ext uri="{63B3BB69-23CF-44E3-9099-C40C66FF867C}">
                  <a14:compatExt spid="_x0000_s17504"/>
                </a:ext>
                <a:ext uri="{FF2B5EF4-FFF2-40B4-BE49-F238E27FC236}">
                  <a16:creationId xmlns:a16="http://schemas.microsoft.com/office/drawing/2014/main" id="{00000000-0008-0000-0A00-00006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5</xdr:col>
          <xdr:colOff>7620</xdr:colOff>
          <xdr:row>103</xdr:row>
          <xdr:rowOff>7620</xdr:rowOff>
        </xdr:to>
        <xdr:sp macro="" textlink="">
          <xdr:nvSpPr>
            <xdr:cNvPr id="17505" name="Drop Down 97" hidden="1">
              <a:extLst>
                <a:ext uri="{63B3BB69-23CF-44E3-9099-C40C66FF867C}">
                  <a14:compatExt spid="_x0000_s17505"/>
                </a:ext>
                <a:ext uri="{FF2B5EF4-FFF2-40B4-BE49-F238E27FC236}">
                  <a16:creationId xmlns:a16="http://schemas.microsoft.com/office/drawing/2014/main" id="{00000000-0008-0000-0A00-00006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11</xdr:row>
          <xdr:rowOff>190500</xdr:rowOff>
        </xdr:from>
        <xdr:to>
          <xdr:col>9</xdr:col>
          <xdr:colOff>304800</xdr:colOff>
          <xdr:row>13</xdr:row>
          <xdr:rowOff>7620</xdr:rowOff>
        </xdr:to>
        <xdr:sp macro="" textlink="">
          <xdr:nvSpPr>
            <xdr:cNvPr id="17514" name="Check Box 106" hidden="1">
              <a:extLst>
                <a:ext uri="{63B3BB69-23CF-44E3-9099-C40C66FF867C}">
                  <a14:compatExt spid="_x0000_s17514"/>
                </a:ext>
                <a:ext uri="{FF2B5EF4-FFF2-40B4-BE49-F238E27FC236}">
                  <a16:creationId xmlns:a16="http://schemas.microsoft.com/office/drawing/2014/main" id="{00000000-0008-0000-0A00-00006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prior to the 1 July 2011 but  no operational works or building works commenced before 1 May 2011.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xdr:colOff>
      <xdr:row>17</xdr:row>
      <xdr:rowOff>1905</xdr:rowOff>
    </xdr:from>
    <xdr:to>
      <xdr:col>10</xdr:col>
      <xdr:colOff>198125</xdr:colOff>
      <xdr:row>19</xdr:row>
      <xdr:rowOff>38159</xdr:rowOff>
    </xdr:to>
    <xdr:sp macro="" textlink="">
      <xdr:nvSpPr>
        <xdr:cNvPr id="19458" name="Text Box 2">
          <a:extLst>
            <a:ext uri="{FF2B5EF4-FFF2-40B4-BE49-F238E27FC236}">
              <a16:creationId xmlns:a16="http://schemas.microsoft.com/office/drawing/2014/main" id="{00000000-0008-0000-0100-0000024C0000}"/>
            </a:ext>
          </a:extLst>
        </xdr:cNvPr>
        <xdr:cNvSpPr txBox="1">
          <a:spLocks noChangeArrowheads="1"/>
        </xdr:cNvSpPr>
      </xdr:nvSpPr>
      <xdr:spPr bwMode="auto">
        <a:xfrm>
          <a:off x="209550" y="3057525"/>
          <a:ext cx="10144125"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2012 financial quarter should use indices published for Sep 2011). - note: State Govt. restricted indexation past June 2009 to be no greater than CPI adjustments)</a:t>
          </a:r>
        </a:p>
      </xdr:txBody>
    </xdr:sp>
    <xdr:clientData/>
  </xdr:twoCellAnchor>
  <xdr:twoCellAnchor>
    <xdr:from>
      <xdr:col>11</xdr:col>
      <xdr:colOff>66675</xdr:colOff>
      <xdr:row>6</xdr:row>
      <xdr:rowOff>104775</xdr:rowOff>
    </xdr:from>
    <xdr:to>
      <xdr:col>12</xdr:col>
      <xdr:colOff>613336</xdr:colOff>
      <xdr:row>9</xdr:row>
      <xdr:rowOff>85725</xdr:rowOff>
    </xdr:to>
    <xdr:sp macro="" textlink="">
      <xdr:nvSpPr>
        <xdr:cNvPr id="19459" name="AutoShape 3">
          <a:hlinkClick xmlns:r="http://schemas.openxmlformats.org/officeDocument/2006/relationships" r:id="rId1"/>
          <a:extLst>
            <a:ext uri="{FF2B5EF4-FFF2-40B4-BE49-F238E27FC236}">
              <a16:creationId xmlns:a16="http://schemas.microsoft.com/office/drawing/2014/main" id="{00000000-0008-0000-0100-0000034C0000}"/>
            </a:ext>
          </a:extLst>
        </xdr:cNvPr>
        <xdr:cNvSpPr>
          <a:spLocks noChangeArrowheads="1"/>
        </xdr:cNvSpPr>
      </xdr:nvSpPr>
      <xdr:spPr bwMode="auto">
        <a:xfrm>
          <a:off x="10848975" y="1247775"/>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5</xdr:col>
          <xdr:colOff>7620</xdr:colOff>
          <xdr:row>10</xdr:row>
          <xdr:rowOff>7620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5</xdr:col>
          <xdr:colOff>7620</xdr:colOff>
          <xdr:row>13</xdr:row>
          <xdr:rowOff>7620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7620</xdr:colOff>
          <xdr:row>14</xdr:row>
          <xdr:rowOff>7620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7620</xdr:rowOff>
        </xdr:from>
        <xdr:to>
          <xdr:col>5</xdr:col>
          <xdr:colOff>7620</xdr:colOff>
          <xdr:row>22</xdr:row>
          <xdr:rowOff>22860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7620</xdr:rowOff>
        </xdr:from>
        <xdr:to>
          <xdr:col>5</xdr:col>
          <xdr:colOff>7620</xdr:colOff>
          <xdr:row>23</xdr:row>
          <xdr:rowOff>22860</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7620</xdr:rowOff>
        </xdr:from>
        <xdr:to>
          <xdr:col>3</xdr:col>
          <xdr:colOff>7620</xdr:colOff>
          <xdr:row>32</xdr:row>
          <xdr:rowOff>22860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731520</xdr:colOff>
          <xdr:row>4</xdr:row>
          <xdr:rowOff>152400</xdr:rowOff>
        </xdr:from>
        <xdr:to>
          <xdr:col>8</xdr:col>
          <xdr:colOff>76200</xdr:colOff>
          <xdr:row>6</xdr:row>
          <xdr:rowOff>45720</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23</xdr:row>
          <xdr:rowOff>7620</xdr:rowOff>
        </xdr:from>
        <xdr:to>
          <xdr:col>5</xdr:col>
          <xdr:colOff>0</xdr:colOff>
          <xdr:row>24</xdr:row>
          <xdr:rowOff>22860</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22860</xdr:rowOff>
        </xdr:from>
        <xdr:to>
          <xdr:col>10</xdr:col>
          <xdr:colOff>45720</xdr:colOff>
          <xdr:row>19</xdr:row>
          <xdr:rowOff>38100</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19050</xdr:colOff>
      <xdr:row>1</xdr:row>
      <xdr:rowOff>150495</xdr:rowOff>
    </xdr:from>
    <xdr:to>
      <xdr:col>15</xdr:col>
      <xdr:colOff>560093</xdr:colOff>
      <xdr:row>3</xdr:row>
      <xdr:rowOff>104879</xdr:rowOff>
    </xdr:to>
    <xdr:sp macro="" textlink="">
      <xdr:nvSpPr>
        <xdr:cNvPr id="7205" name="Text Box 37">
          <a:extLst>
            <a:ext uri="{FF2B5EF4-FFF2-40B4-BE49-F238E27FC236}">
              <a16:creationId xmlns:a16="http://schemas.microsoft.com/office/drawing/2014/main" id="{00000000-0008-0000-0300-0000251C0000}"/>
            </a:ext>
          </a:extLst>
        </xdr:cNvPr>
        <xdr:cNvSpPr txBox="1">
          <a:spLocks noChangeArrowheads="1"/>
        </xdr:cNvSpPr>
      </xdr:nvSpPr>
      <xdr:spPr bwMode="auto">
        <a:xfrm>
          <a:off x="381000" y="342900"/>
          <a:ext cx="9791700" cy="361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all Reconfiguration of Lot or Material Change of Use development requiring/involving connection to Council sewer or water supply.</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10</xdr:row>
          <xdr:rowOff>7620</xdr:rowOff>
        </xdr:from>
        <xdr:to>
          <xdr:col>5</xdr:col>
          <xdr:colOff>7620</xdr:colOff>
          <xdr:row>11</xdr:row>
          <xdr:rowOff>22860</xdr:rowOff>
        </xdr:to>
        <xdr:sp macro="" textlink="">
          <xdr:nvSpPr>
            <xdr:cNvPr id="7208" name="Drop Down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5</xdr:col>
          <xdr:colOff>7620</xdr:colOff>
          <xdr:row>12</xdr:row>
          <xdr:rowOff>7620</xdr:rowOff>
        </xdr:to>
        <xdr:sp macro="" textlink="">
          <xdr:nvSpPr>
            <xdr:cNvPr id="7209" name="Drop Down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813435</xdr:colOff>
      <xdr:row>9</xdr:row>
      <xdr:rowOff>142875</xdr:rowOff>
    </xdr:from>
    <xdr:to>
      <xdr:col>17</xdr:col>
      <xdr:colOff>579206</xdr:colOff>
      <xdr:row>12</xdr:row>
      <xdr:rowOff>123825</xdr:rowOff>
    </xdr:to>
    <xdr:sp macro="" textlink="">
      <xdr:nvSpPr>
        <xdr:cNvPr id="7211" name="AutoShape 43">
          <a:hlinkClick xmlns:r="http://schemas.openxmlformats.org/officeDocument/2006/relationships" r:id="rId1"/>
          <a:extLst>
            <a:ext uri="{FF2B5EF4-FFF2-40B4-BE49-F238E27FC236}">
              <a16:creationId xmlns:a16="http://schemas.microsoft.com/office/drawing/2014/main" id="{00000000-0008-0000-0300-00002B1C0000}"/>
            </a:ext>
          </a:extLst>
        </xdr:cNvPr>
        <xdr:cNvSpPr>
          <a:spLocks noChangeArrowheads="1"/>
        </xdr:cNvSpPr>
      </xdr:nvSpPr>
      <xdr:spPr bwMode="auto">
        <a:xfrm>
          <a:off x="11001375" y="1752600"/>
          <a:ext cx="93345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16</xdr:col>
      <xdr:colOff>842010</xdr:colOff>
      <xdr:row>12</xdr:row>
      <xdr:rowOff>165101</xdr:rowOff>
    </xdr:from>
    <xdr:to>
      <xdr:col>24</xdr:col>
      <xdr:colOff>96456</xdr:colOff>
      <xdr:row>15</xdr:row>
      <xdr:rowOff>43267</xdr:rowOff>
    </xdr:to>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11049000" y="2374901"/>
          <a:ext cx="2857500" cy="4318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xdr:row>
      <xdr:rowOff>28575</xdr:rowOff>
    </xdr:from>
    <xdr:to>
      <xdr:col>10</xdr:col>
      <xdr:colOff>586729</xdr:colOff>
      <xdr:row>4</xdr:row>
      <xdr:rowOff>0</xdr:rowOff>
    </xdr:to>
    <xdr:sp macro="" textlink="">
      <xdr:nvSpPr>
        <xdr:cNvPr id="10243" name="Text Box 3">
          <a:extLst>
            <a:ext uri="{FF2B5EF4-FFF2-40B4-BE49-F238E27FC236}">
              <a16:creationId xmlns:a16="http://schemas.microsoft.com/office/drawing/2014/main" id="{00000000-0008-0000-0400-000003280000}"/>
            </a:ext>
          </a:extLst>
        </xdr:cNvPr>
        <xdr:cNvSpPr txBox="1">
          <a:spLocks noChangeArrowheads="1"/>
        </xdr:cNvSpPr>
      </xdr:nvSpPr>
      <xdr:spPr bwMode="auto">
        <a:xfrm>
          <a:off x="361950" y="428625"/>
          <a:ext cx="6257925"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Reconfiguration of Lot development for residential, commercial or industrial purposes, and to Material Change of Use for such purposes where subsequent reconfiguration is a likely consequence.</a:t>
          </a:r>
        </a:p>
      </xdr:txBody>
    </xdr:sp>
    <xdr:clientData/>
  </xdr:twoCellAnchor>
  <xdr:twoCellAnchor>
    <xdr:from>
      <xdr:col>15</xdr:col>
      <xdr:colOff>548640</xdr:colOff>
      <xdr:row>8</xdr:row>
      <xdr:rowOff>85725</xdr:rowOff>
    </xdr:from>
    <xdr:to>
      <xdr:col>17</xdr:col>
      <xdr:colOff>474365</xdr:colOff>
      <xdr:row>11</xdr:row>
      <xdr:rowOff>160028</xdr:rowOff>
    </xdr:to>
    <xdr:sp macro="" textlink="">
      <xdr:nvSpPr>
        <xdr:cNvPr id="10245" name="AutoShape 5">
          <a:hlinkClick xmlns:r="http://schemas.openxmlformats.org/officeDocument/2006/relationships" r:id="rId1"/>
          <a:extLst>
            <a:ext uri="{FF2B5EF4-FFF2-40B4-BE49-F238E27FC236}">
              <a16:creationId xmlns:a16="http://schemas.microsoft.com/office/drawing/2014/main" id="{00000000-0008-0000-0400-000005280000}"/>
            </a:ext>
          </a:extLst>
        </xdr:cNvPr>
        <xdr:cNvSpPr>
          <a:spLocks noChangeArrowheads="1"/>
        </xdr:cNvSpPr>
      </xdr:nvSpPr>
      <xdr:spPr bwMode="auto">
        <a:xfrm>
          <a:off x="9629775" y="1685925"/>
          <a:ext cx="1152525" cy="60960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228600</xdr:colOff>
          <xdr:row>8</xdr:row>
          <xdr:rowOff>45720</xdr:rowOff>
        </xdr:from>
        <xdr:to>
          <xdr:col>7</xdr:col>
          <xdr:colOff>274320</xdr:colOff>
          <xdr:row>9</xdr:row>
          <xdr:rowOff>106680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7620</xdr:rowOff>
        </xdr:from>
        <xdr:to>
          <xdr:col>5</xdr:col>
          <xdr:colOff>0</xdr:colOff>
          <xdr:row>14</xdr:row>
          <xdr:rowOff>22860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1</xdr:row>
      <xdr:rowOff>152400</xdr:rowOff>
    </xdr:from>
    <xdr:to>
      <xdr:col>11</xdr:col>
      <xdr:colOff>567707</xdr:colOff>
      <xdr:row>5</xdr:row>
      <xdr:rowOff>40012</xdr:rowOff>
    </xdr:to>
    <xdr:sp macro="" textlink="">
      <xdr:nvSpPr>
        <xdr:cNvPr id="9219" name="Text Box 3">
          <a:extLst>
            <a:ext uri="{FF2B5EF4-FFF2-40B4-BE49-F238E27FC236}">
              <a16:creationId xmlns:a16="http://schemas.microsoft.com/office/drawing/2014/main" id="{00000000-0008-0000-0500-000003240000}"/>
            </a:ext>
          </a:extLst>
        </xdr:cNvPr>
        <xdr:cNvSpPr txBox="1">
          <a:spLocks noChangeArrowheads="1"/>
        </xdr:cNvSpPr>
      </xdr:nvSpPr>
      <xdr:spPr bwMode="auto">
        <a:xfrm>
          <a:off x="352425" y="352425"/>
          <a:ext cx="6705600" cy="695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900"/>
            </a:lnSpc>
            <a:defRPr sz="1000"/>
          </a:pPr>
          <a:r>
            <a:rPr lang="en-AU" sz="1000" b="0" i="0" u="none" strike="noStrike" baseline="0">
              <a:solidFill>
                <a:srgbClr val="000000"/>
              </a:solidFill>
              <a:latin typeface="Arial"/>
              <a:cs typeface="Arial"/>
            </a:rPr>
            <a:t>The policy applies where the Parking and Access Code requires off street parking and Council is satisfied that full compliance with the relevant quota is impracticable, generally where the circumstances are exceptional, where the shortfall is a limited number of spaces, and the additional on-street parking provision would not be prejudicial to the traffic or amenity of the area.</a:t>
          </a:r>
        </a:p>
      </xdr:txBody>
    </xdr:sp>
    <xdr:clientData/>
  </xdr:twoCellAnchor>
  <xdr:twoCellAnchor>
    <xdr:from>
      <xdr:col>15</xdr:col>
      <xdr:colOff>93345</xdr:colOff>
      <xdr:row>6</xdr:row>
      <xdr:rowOff>83820</xdr:rowOff>
    </xdr:from>
    <xdr:to>
      <xdr:col>17</xdr:col>
      <xdr:colOff>19070</xdr:colOff>
      <xdr:row>10</xdr:row>
      <xdr:rowOff>152512</xdr:rowOff>
    </xdr:to>
    <xdr:sp macro="" textlink="">
      <xdr:nvSpPr>
        <xdr:cNvPr id="9220" name="AutoShape 4">
          <a:hlinkClick xmlns:r="http://schemas.openxmlformats.org/officeDocument/2006/relationships" r:id="rId1"/>
          <a:extLst>
            <a:ext uri="{FF2B5EF4-FFF2-40B4-BE49-F238E27FC236}">
              <a16:creationId xmlns:a16="http://schemas.microsoft.com/office/drawing/2014/main" id="{00000000-0008-0000-0500-000004240000}"/>
            </a:ext>
          </a:extLst>
        </xdr:cNvPr>
        <xdr:cNvSpPr>
          <a:spLocks noChangeArrowheads="1"/>
        </xdr:cNvSpPr>
      </xdr:nvSpPr>
      <xdr:spPr bwMode="auto">
        <a:xfrm>
          <a:off x="9020175" y="1247775"/>
          <a:ext cx="1152525" cy="7143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266700</xdr:colOff>
          <xdr:row>9</xdr:row>
          <xdr:rowOff>38100</xdr:rowOff>
        </xdr:from>
        <xdr:to>
          <xdr:col>7</xdr:col>
          <xdr:colOff>480060</xdr:colOff>
          <xdr:row>10</xdr:row>
          <xdr:rowOff>144780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twoCellAnchor>
    <xdr:from>
      <xdr:col>15</xdr:col>
      <xdr:colOff>0</xdr:colOff>
      <xdr:row>11</xdr:row>
      <xdr:rowOff>0</xdr:rowOff>
    </xdr:from>
    <xdr:to>
      <xdr:col>20</xdr:col>
      <xdr:colOff>369584</xdr:colOff>
      <xdr:row>13</xdr:row>
      <xdr:rowOff>150587</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8928100" y="2095500"/>
          <a:ext cx="2809875"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10</xdr:row>
          <xdr:rowOff>22860</xdr:rowOff>
        </xdr:from>
        <xdr:to>
          <xdr:col>4</xdr:col>
          <xdr:colOff>7620</xdr:colOff>
          <xdr:row>11</xdr:row>
          <xdr:rowOff>30480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22860</xdr:rowOff>
        </xdr:from>
        <xdr:to>
          <xdr:col>4</xdr:col>
          <xdr:colOff>0</xdr:colOff>
          <xdr:row>12</xdr:row>
          <xdr:rowOff>38100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22860</xdr:rowOff>
        </xdr:from>
        <xdr:to>
          <xdr:col>4</xdr:col>
          <xdr:colOff>0</xdr:colOff>
          <xdr:row>13</xdr:row>
          <xdr:rowOff>30480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7620</xdr:rowOff>
        </xdr:from>
        <xdr:to>
          <xdr:col>4</xdr:col>
          <xdr:colOff>7620</xdr:colOff>
          <xdr:row>19</xdr:row>
          <xdr:rowOff>22860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7620</xdr:rowOff>
        </xdr:from>
        <xdr:to>
          <xdr:col>4</xdr:col>
          <xdr:colOff>7620</xdr:colOff>
          <xdr:row>20</xdr:row>
          <xdr:rowOff>22860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7620</xdr:rowOff>
        </xdr:from>
        <xdr:to>
          <xdr:col>3</xdr:col>
          <xdr:colOff>784860</xdr:colOff>
          <xdr:row>28</xdr:row>
          <xdr:rowOff>22860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7620</xdr:rowOff>
        </xdr:from>
        <xdr:to>
          <xdr:col>4</xdr:col>
          <xdr:colOff>0</xdr:colOff>
          <xdr:row>21</xdr:row>
          <xdr:rowOff>22860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9525</xdr:colOff>
      <xdr:row>2</xdr:row>
      <xdr:rowOff>40005</xdr:rowOff>
    </xdr:from>
    <xdr:to>
      <xdr:col>10</xdr:col>
      <xdr:colOff>47625</xdr:colOff>
      <xdr:row>4</xdr:row>
      <xdr:rowOff>76211</xdr:rowOff>
    </xdr:to>
    <xdr:sp macro="" textlink="">
      <xdr:nvSpPr>
        <xdr:cNvPr id="11274" name="Text Box 10">
          <a:extLst>
            <a:ext uri="{FF2B5EF4-FFF2-40B4-BE49-F238E27FC236}">
              <a16:creationId xmlns:a16="http://schemas.microsoft.com/office/drawing/2014/main" id="{00000000-0008-0000-0600-00000A2C0000}"/>
            </a:ext>
          </a:extLst>
        </xdr:cNvPr>
        <xdr:cNvSpPr txBox="1">
          <a:spLocks noChangeArrowheads="1"/>
        </xdr:cNvSpPr>
      </xdr:nvSpPr>
      <xdr:spPr bwMode="auto">
        <a:xfrm>
          <a:off x="352425" y="447675"/>
          <a:ext cx="6915150" cy="4286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Reconfiguration of Lot or Material Change of Use development where the creation of new or additional residential components are the purpose of the application.</a:t>
          </a:r>
        </a:p>
      </xdr:txBody>
    </xdr:sp>
    <xdr:clientData/>
  </xdr:twoCellAnchor>
  <mc:AlternateContent xmlns:mc="http://schemas.openxmlformats.org/markup-compatibility/2006">
    <mc:Choice xmlns:a14="http://schemas.microsoft.com/office/drawing/2010/main" Requires="a14">
      <xdr:twoCellAnchor editAs="oneCell">
        <xdr:from>
          <xdr:col>2</xdr:col>
          <xdr:colOff>693420</xdr:colOff>
          <xdr:row>6</xdr:row>
          <xdr:rowOff>0</xdr:rowOff>
        </xdr:from>
        <xdr:to>
          <xdr:col>6</xdr:col>
          <xdr:colOff>342900</xdr:colOff>
          <xdr:row>7</xdr:row>
          <xdr:rowOff>45720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198120</xdr:colOff>
      <xdr:row>15</xdr:row>
      <xdr:rowOff>93345</xdr:rowOff>
    </xdr:from>
    <xdr:to>
      <xdr:col>16</xdr:col>
      <xdr:colOff>548683</xdr:colOff>
      <xdr:row>18</xdr:row>
      <xdr:rowOff>152425</xdr:rowOff>
    </xdr:to>
    <xdr:sp macro="" textlink="">
      <xdr:nvSpPr>
        <xdr:cNvPr id="11276" name="AutoShape 12">
          <a:hlinkClick xmlns:r="http://schemas.openxmlformats.org/officeDocument/2006/relationships" r:id="rId1"/>
          <a:extLst>
            <a:ext uri="{FF2B5EF4-FFF2-40B4-BE49-F238E27FC236}">
              <a16:creationId xmlns:a16="http://schemas.microsoft.com/office/drawing/2014/main" id="{00000000-0008-0000-0600-00000C2C0000}"/>
            </a:ext>
          </a:extLst>
        </xdr:cNvPr>
        <xdr:cNvSpPr>
          <a:spLocks noChangeArrowheads="1"/>
        </xdr:cNvSpPr>
      </xdr:nvSpPr>
      <xdr:spPr bwMode="auto">
        <a:xfrm>
          <a:off x="10848975" y="281940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15</xdr:col>
      <xdr:colOff>203200</xdr:colOff>
      <xdr:row>19</xdr:row>
      <xdr:rowOff>0</xdr:rowOff>
    </xdr:from>
    <xdr:to>
      <xdr:col>20</xdr:col>
      <xdr:colOff>420379</xdr:colOff>
      <xdr:row>21</xdr:row>
      <xdr:rowOff>99665</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10858500" y="3454400"/>
          <a:ext cx="3355975"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152400</xdr:rowOff>
        </xdr:from>
        <xdr:to>
          <xdr:col>6</xdr:col>
          <xdr:colOff>327660</xdr:colOff>
          <xdr:row>7</xdr:row>
          <xdr:rowOff>0</xdr:rowOff>
        </xdr:to>
        <xdr:sp macro="" textlink="">
          <xdr:nvSpPr>
            <xdr:cNvPr id="12304" name="Drop Down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64770</xdr:colOff>
      <xdr:row>2</xdr:row>
      <xdr:rowOff>1905</xdr:rowOff>
    </xdr:from>
    <xdr:to>
      <xdr:col>12</xdr:col>
      <xdr:colOff>121920</xdr:colOff>
      <xdr:row>4</xdr:row>
      <xdr:rowOff>190508</xdr:rowOff>
    </xdr:to>
    <xdr:sp macro="" textlink="">
      <xdr:nvSpPr>
        <xdr:cNvPr id="12309" name="Text Box 21">
          <a:extLst>
            <a:ext uri="{FF2B5EF4-FFF2-40B4-BE49-F238E27FC236}">
              <a16:creationId xmlns:a16="http://schemas.microsoft.com/office/drawing/2014/main" id="{00000000-0008-0000-0700-000015300000}"/>
            </a:ext>
          </a:extLst>
        </xdr:cNvPr>
        <xdr:cNvSpPr txBox="1">
          <a:spLocks noChangeArrowheads="1"/>
        </xdr:cNvSpPr>
      </xdr:nvSpPr>
      <xdr:spPr bwMode="auto">
        <a:xfrm>
          <a:off x="400050" y="409575"/>
          <a:ext cx="7839075" cy="5810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is applicable for Material Change of Use or Reconfiguration of Lot development: (i) for urban or rural-residential purposes and; (ii) serviced, planned to be serviced or required to be serviced with stormwater drainage trunk infrastructure and; (iii) will present an increased drainage or stormwater quality demand.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7620</xdr:rowOff>
        </xdr:from>
        <xdr:to>
          <xdr:col>4</xdr:col>
          <xdr:colOff>22860</xdr:colOff>
          <xdr:row>11</xdr:row>
          <xdr:rowOff>7620</xdr:rowOff>
        </xdr:to>
        <xdr:sp macro="" textlink="">
          <xdr:nvSpPr>
            <xdr:cNvPr id="12310" name="Drop Down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4</xdr:col>
          <xdr:colOff>7620</xdr:colOff>
          <xdr:row>12</xdr:row>
          <xdr:rowOff>0</xdr:rowOff>
        </xdr:to>
        <xdr:sp macro="" textlink="">
          <xdr:nvSpPr>
            <xdr:cNvPr id="12311" name="Drop Down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11</xdr:row>
          <xdr:rowOff>190500</xdr:rowOff>
        </xdr:from>
        <xdr:to>
          <xdr:col>4</xdr:col>
          <xdr:colOff>7620</xdr:colOff>
          <xdr:row>13</xdr:row>
          <xdr:rowOff>0</xdr:rowOff>
        </xdr:to>
        <xdr:sp macro="" textlink="">
          <xdr:nvSpPr>
            <xdr:cNvPr id="12312" name="Drop Down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7620</xdr:rowOff>
        </xdr:from>
        <xdr:to>
          <xdr:col>4</xdr:col>
          <xdr:colOff>22860</xdr:colOff>
          <xdr:row>18</xdr:row>
          <xdr:rowOff>22860</xdr:rowOff>
        </xdr:to>
        <xdr:sp macro="" textlink="">
          <xdr:nvSpPr>
            <xdr:cNvPr id="12313" name="Drop Down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4</xdr:col>
          <xdr:colOff>7620</xdr:colOff>
          <xdr:row>19</xdr:row>
          <xdr:rowOff>7620</xdr:rowOff>
        </xdr:to>
        <xdr:sp macro="" textlink="">
          <xdr:nvSpPr>
            <xdr:cNvPr id="12314" name="Drop Down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19</xdr:row>
          <xdr:rowOff>0</xdr:rowOff>
        </xdr:from>
        <xdr:to>
          <xdr:col>4</xdr:col>
          <xdr:colOff>7620</xdr:colOff>
          <xdr:row>20</xdr:row>
          <xdr:rowOff>22860</xdr:rowOff>
        </xdr:to>
        <xdr:sp macro="" textlink="">
          <xdr:nvSpPr>
            <xdr:cNvPr id="12315" name="Drop Down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152400</xdr:rowOff>
        </xdr:from>
        <xdr:to>
          <xdr:col>4</xdr:col>
          <xdr:colOff>30480</xdr:colOff>
          <xdr:row>26</xdr:row>
          <xdr:rowOff>7620</xdr:rowOff>
        </xdr:to>
        <xdr:sp macro="" textlink="">
          <xdr:nvSpPr>
            <xdr:cNvPr id="12316" name="Drop Down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293370</xdr:colOff>
      <xdr:row>13</xdr:row>
      <xdr:rowOff>85725</xdr:rowOff>
    </xdr:from>
    <xdr:to>
      <xdr:col>17</xdr:col>
      <xdr:colOff>226695</xdr:colOff>
      <xdr:row>16</xdr:row>
      <xdr:rowOff>150601</xdr:rowOff>
    </xdr:to>
    <xdr:sp macro="" textlink="">
      <xdr:nvSpPr>
        <xdr:cNvPr id="12317" name="AutoShape 29">
          <a:hlinkClick xmlns:r="http://schemas.openxmlformats.org/officeDocument/2006/relationships" r:id="rId1"/>
          <a:extLst>
            <a:ext uri="{FF2B5EF4-FFF2-40B4-BE49-F238E27FC236}">
              <a16:creationId xmlns:a16="http://schemas.microsoft.com/office/drawing/2014/main" id="{00000000-0008-0000-0700-00001D300000}"/>
            </a:ext>
          </a:extLst>
        </xdr:cNvPr>
        <xdr:cNvSpPr>
          <a:spLocks noChangeArrowheads="1"/>
        </xdr:cNvSpPr>
      </xdr:nvSpPr>
      <xdr:spPr bwMode="auto">
        <a:xfrm>
          <a:off x="10239375" y="2562225"/>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15</xdr:col>
      <xdr:colOff>325120</xdr:colOff>
      <xdr:row>17</xdr:row>
      <xdr:rowOff>53975</xdr:rowOff>
    </xdr:from>
    <xdr:to>
      <xdr:col>18</xdr:col>
      <xdr:colOff>986154</xdr:colOff>
      <xdr:row>19</xdr:row>
      <xdr:rowOff>188748</xdr:rowOff>
    </xdr:to>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10261600" y="3238500"/>
          <a:ext cx="2708275" cy="4984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xdr:colOff>
          <xdr:row>3</xdr:row>
          <xdr:rowOff>76200</xdr:rowOff>
        </xdr:from>
        <xdr:to>
          <xdr:col>10</xdr:col>
          <xdr:colOff>68580</xdr:colOff>
          <xdr:row>4</xdr:row>
          <xdr:rowOff>45720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NOT subject to an infrastructure agreement concerning road infrastructure contributions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4</xdr:row>
          <xdr:rowOff>60960</xdr:rowOff>
        </xdr:from>
        <xdr:to>
          <xdr:col>12</xdr:col>
          <xdr:colOff>175260</xdr:colOff>
          <xdr:row>5</xdr:row>
          <xdr:rowOff>60960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average density (e.g., lot size, dwellings, population) is consistent with the specific outcomes and probable solutions of the planning scheme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5</xdr:row>
          <xdr:rowOff>68580</xdr:rowOff>
        </xdr:from>
        <xdr:to>
          <xdr:col>5</xdr:col>
          <xdr:colOff>144780</xdr:colOff>
          <xdr:row>6</xdr:row>
          <xdr:rowOff>68580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urban or rural-residential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6</xdr:row>
          <xdr:rowOff>76200</xdr:rowOff>
        </xdr:from>
        <xdr:to>
          <xdr:col>9</xdr:col>
          <xdr:colOff>1722120</xdr:colOff>
          <xdr:row>7</xdr:row>
          <xdr:rowOff>76200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located within the Priority Infrastructure Area (pp.17k-17p of City Plan Policy 3 - Contributions)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83820</xdr:rowOff>
        </xdr:from>
        <xdr:to>
          <xdr:col>9</xdr:col>
          <xdr:colOff>1874520</xdr:colOff>
          <xdr:row>8</xdr:row>
          <xdr:rowOff>83820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8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represents growth within the traffic generation profiles as shown in p.39 of City Plan Policy 3 - Contributions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17</xdr:row>
          <xdr:rowOff>7620</xdr:rowOff>
        </xdr:from>
        <xdr:to>
          <xdr:col>6</xdr:col>
          <xdr:colOff>762000</xdr:colOff>
          <xdr:row>18</xdr:row>
          <xdr:rowOff>30480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8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prior to 30 June 2010.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33</xdr:row>
          <xdr:rowOff>30480</xdr:rowOff>
        </xdr:from>
        <xdr:to>
          <xdr:col>11</xdr:col>
          <xdr:colOff>38100</xdr:colOff>
          <xdr:row>34</xdr:row>
          <xdr:rowOff>45720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8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Full payment of all infrastructure contributions relevant to the development is made before close of business 30/6/2011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34</xdr:row>
          <xdr:rowOff>38100</xdr:rowOff>
        </xdr:from>
        <xdr:to>
          <xdr:col>5</xdr:col>
          <xdr:colOff>198120</xdr:colOff>
          <xdr:row>35</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8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First Principles Assessment NOT been applied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xdr:colOff>
          <xdr:row>39</xdr:row>
          <xdr:rowOff>0</xdr:rowOff>
        </xdr:from>
        <xdr:to>
          <xdr:col>11</xdr:col>
          <xdr:colOff>0</xdr:colOff>
          <xdr:row>40</xdr:row>
          <xdr:rowOff>7620</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8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40</xdr:row>
          <xdr:rowOff>0</xdr:rowOff>
        </xdr:from>
        <xdr:to>
          <xdr:col>11</xdr:col>
          <xdr:colOff>0</xdr:colOff>
          <xdr:row>41</xdr:row>
          <xdr:rowOff>0</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8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41</xdr:row>
          <xdr:rowOff>0</xdr:rowOff>
        </xdr:from>
        <xdr:to>
          <xdr:col>11</xdr:col>
          <xdr:colOff>0</xdr:colOff>
          <xdr:row>42</xdr:row>
          <xdr:rowOff>7620</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8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57150</xdr:colOff>
      <xdr:row>8</xdr:row>
      <xdr:rowOff>74295</xdr:rowOff>
    </xdr:from>
    <xdr:to>
      <xdr:col>12</xdr:col>
      <xdr:colOff>329570</xdr:colOff>
      <xdr:row>9</xdr:row>
      <xdr:rowOff>2359</xdr:rowOff>
    </xdr:to>
    <xdr:sp macro="" textlink="">
      <xdr:nvSpPr>
        <xdr:cNvPr id="15372" name="Text Box 12">
          <a:extLst>
            <a:ext uri="{FF2B5EF4-FFF2-40B4-BE49-F238E27FC236}">
              <a16:creationId xmlns:a16="http://schemas.microsoft.com/office/drawing/2014/main" id="{00000000-0008-0000-0800-00000C3C0000}"/>
            </a:ext>
          </a:extLst>
        </xdr:cNvPr>
        <xdr:cNvSpPr txBox="1">
          <a:spLocks noChangeArrowheads="1"/>
        </xdr:cNvSpPr>
      </xdr:nvSpPr>
      <xdr:spPr bwMode="auto">
        <a:xfrm>
          <a:off x="457200" y="2762250"/>
          <a:ext cx="9382125" cy="209550"/>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(N.B. development which generates trips exceeding those shown in Table B may need to be referred to the Road Infrastructure planners for advice)</a:t>
          </a:r>
        </a:p>
      </xdr:txBody>
    </xdr:sp>
    <xdr:clientData/>
  </xdr:twoCellAnchor>
  <xdr:twoCellAnchor>
    <xdr:from>
      <xdr:col>2</xdr:col>
      <xdr:colOff>47625</xdr:colOff>
      <xdr:row>9</xdr:row>
      <xdr:rowOff>11430</xdr:rowOff>
    </xdr:from>
    <xdr:to>
      <xdr:col>3</xdr:col>
      <xdr:colOff>594444</xdr:colOff>
      <xdr:row>10</xdr:row>
      <xdr:rowOff>9621</xdr:rowOff>
    </xdr:to>
    <xdr:sp macro="" textlink="">
      <xdr:nvSpPr>
        <xdr:cNvPr id="15373" name="Text Box 13">
          <a:hlinkClick xmlns:r="http://schemas.openxmlformats.org/officeDocument/2006/relationships" r:id="rId1"/>
          <a:extLst>
            <a:ext uri="{FF2B5EF4-FFF2-40B4-BE49-F238E27FC236}">
              <a16:creationId xmlns:a16="http://schemas.microsoft.com/office/drawing/2014/main" id="{00000000-0008-0000-0800-00000D3C0000}"/>
            </a:ext>
          </a:extLst>
        </xdr:cNvPr>
        <xdr:cNvSpPr txBox="1">
          <a:spLocks noChangeArrowheads="1"/>
        </xdr:cNvSpPr>
      </xdr:nvSpPr>
      <xdr:spPr bwMode="auto">
        <a:xfrm>
          <a:off x="447675" y="2981325"/>
          <a:ext cx="1285875" cy="257175"/>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800" b="1" i="0" u="sng" strike="noStrike" baseline="0">
              <a:solidFill>
                <a:srgbClr val="0000FF"/>
              </a:solidFill>
              <a:latin typeface="Arial"/>
              <a:cs typeface="Arial"/>
            </a:rPr>
            <a:t>Hyperlink to Table B</a:t>
          </a:r>
        </a:p>
      </xdr:txBody>
    </xdr:sp>
    <xdr:clientData/>
  </xdr:twoCellAnchor>
  <xdr:twoCellAnchor>
    <xdr:from>
      <xdr:col>1</xdr:col>
      <xdr:colOff>19050</xdr:colOff>
      <xdr:row>1</xdr:row>
      <xdr:rowOff>38100</xdr:rowOff>
    </xdr:from>
    <xdr:to>
      <xdr:col>12</xdr:col>
      <xdr:colOff>169547</xdr:colOff>
      <xdr:row>2</xdr:row>
      <xdr:rowOff>17055</xdr:rowOff>
    </xdr:to>
    <xdr:sp macro="" textlink="">
      <xdr:nvSpPr>
        <xdr:cNvPr id="15374" name="Text Box 14">
          <a:extLst>
            <a:ext uri="{FF2B5EF4-FFF2-40B4-BE49-F238E27FC236}">
              <a16:creationId xmlns:a16="http://schemas.microsoft.com/office/drawing/2014/main" id="{00000000-0008-0000-0800-00000E3C0000}"/>
            </a:ext>
          </a:extLst>
        </xdr:cNvPr>
        <xdr:cNvSpPr txBox="1">
          <a:spLocks noChangeArrowheads="1"/>
        </xdr:cNvSpPr>
      </xdr:nvSpPr>
      <xdr:spPr bwMode="auto">
        <a:xfrm>
          <a:off x="228600" y="476250"/>
          <a:ext cx="9448800" cy="571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has made resoultions concerning the waiving of road infrastructure contributions, with the greater waiver prevailing where more than one applies. The applicable waiver is noted at the bottom of the worksheet and transferred to the Summary worksheet.</a:t>
          </a:r>
        </a:p>
      </xdr:txBody>
    </xdr:sp>
    <xdr:clientData/>
  </xdr:twoCellAnchor>
  <xdr:twoCellAnchor>
    <xdr:from>
      <xdr:col>2</xdr:col>
      <xdr:colOff>0</xdr:colOff>
      <xdr:row>12</xdr:row>
      <xdr:rowOff>76200</xdr:rowOff>
    </xdr:from>
    <xdr:to>
      <xdr:col>12</xdr:col>
      <xdr:colOff>217171</xdr:colOff>
      <xdr:row>15</xdr:row>
      <xdr:rowOff>0</xdr:rowOff>
    </xdr:to>
    <xdr:sp macro="" textlink="">
      <xdr:nvSpPr>
        <xdr:cNvPr id="15375" name="Text Box 15">
          <a:extLst>
            <a:ext uri="{FF2B5EF4-FFF2-40B4-BE49-F238E27FC236}">
              <a16:creationId xmlns:a16="http://schemas.microsoft.com/office/drawing/2014/main" id="{00000000-0008-0000-0800-00000F3C0000}"/>
            </a:ext>
          </a:extLst>
        </xdr:cNvPr>
        <xdr:cNvSpPr txBox="1">
          <a:spLocks noChangeArrowheads="1"/>
        </xdr:cNvSpPr>
      </xdr:nvSpPr>
      <xdr:spPr bwMode="auto">
        <a:xfrm>
          <a:off x="390525" y="3867150"/>
          <a:ext cx="93345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23rd June 2009, a 33% waiver of the Road Network Headworks is applicable to development for which the amended policy is effective, but only for those development approvals of land uses which are consistent with the relevant planning scheme and infrastructure planning commensurate with the amended planning scheme policies, and are decided before 30 June 2010, unless priority infrastructure plans commence earlier.</a:t>
          </a:r>
        </a:p>
      </xdr:txBody>
    </xdr:sp>
    <xdr:clientData/>
  </xdr:twoCellAnchor>
  <xdr:twoCellAnchor>
    <xdr:from>
      <xdr:col>1</xdr:col>
      <xdr:colOff>171450</xdr:colOff>
      <xdr:row>27</xdr:row>
      <xdr:rowOff>85725</xdr:rowOff>
    </xdr:from>
    <xdr:to>
      <xdr:col>12</xdr:col>
      <xdr:colOff>329577</xdr:colOff>
      <xdr:row>30</xdr:row>
      <xdr:rowOff>188628</xdr:rowOff>
    </xdr:to>
    <xdr:sp macro="" textlink="">
      <xdr:nvSpPr>
        <xdr:cNvPr id="15376" name="Text Box 16">
          <a:extLst>
            <a:ext uri="{FF2B5EF4-FFF2-40B4-BE49-F238E27FC236}">
              <a16:creationId xmlns:a16="http://schemas.microsoft.com/office/drawing/2014/main" id="{00000000-0008-0000-0800-0000103C0000}"/>
            </a:ext>
          </a:extLst>
        </xdr:cNvPr>
        <xdr:cNvSpPr txBox="1">
          <a:spLocks noChangeArrowheads="1"/>
        </xdr:cNvSpPr>
      </xdr:nvSpPr>
      <xdr:spPr bwMode="auto">
        <a:xfrm>
          <a:off x="381000" y="7286625"/>
          <a:ext cx="9458325"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AU" sz="1000" b="0" i="0" u="none" strike="noStrike" baseline="0">
              <a:solidFill>
                <a:srgbClr val="000000"/>
              </a:solidFill>
              <a:latin typeface="Arial"/>
              <a:cs typeface="Arial"/>
            </a:rPr>
            <a:t>'In accordance with the Council resolution dated 23rd March 2010, a waiver of the Road Network Headworks may also be applicable to non-residential development for which the amended policy is effective, but only for those development approvals of land uses which are consistent with the relevant planning scheme and infrastructure planning commensurate with the planning scheme policies, and for which full payment of all infrastructure contributions is made before close of business 30 June 2011. Where this waiver coincides with the waiver of Note 1 above, the most generous wavier shall prevail. It does not apply if a First Principles Assessment has been applied.</a:t>
          </a:r>
        </a:p>
      </xdr:txBody>
    </xdr:sp>
    <xdr:clientData/>
  </xdr:twoCellAnchor>
  <xdr:twoCellAnchor>
    <xdr:from>
      <xdr:col>2</xdr:col>
      <xdr:colOff>9525</xdr:colOff>
      <xdr:row>142</xdr:row>
      <xdr:rowOff>64770</xdr:rowOff>
    </xdr:from>
    <xdr:to>
      <xdr:col>8</xdr:col>
      <xdr:colOff>104775</xdr:colOff>
      <xdr:row>150</xdr:row>
      <xdr:rowOff>57196</xdr:rowOff>
    </xdr:to>
    <xdr:sp macro="" textlink="">
      <xdr:nvSpPr>
        <xdr:cNvPr id="15377" name="Text Box 17">
          <a:extLst>
            <a:ext uri="{FF2B5EF4-FFF2-40B4-BE49-F238E27FC236}">
              <a16:creationId xmlns:a16="http://schemas.microsoft.com/office/drawing/2014/main" id="{00000000-0008-0000-0800-0000113C0000}"/>
            </a:ext>
          </a:extLst>
        </xdr:cNvPr>
        <xdr:cNvSpPr txBox="1">
          <a:spLocks noChangeArrowheads="1"/>
        </xdr:cNvSpPr>
      </xdr:nvSpPr>
      <xdr:spPr bwMode="auto">
        <a:xfrm>
          <a:off x="400050" y="42652950"/>
          <a:ext cx="3743325"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Values represent 10% of the average annual growth, derived from 2006 - 2011 sectoral traffic generation demand (policy, p.48).</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While any single development exceeding such limits may still be within the planned annual growth, there is a strong likelihood that a number of similar developments are being proposed at the same time, and the aggregate effect of such growth needs to be checked to ensure the infrastructure is also available.</a:t>
          </a:r>
        </a:p>
      </xdr:txBody>
    </xdr:sp>
    <xdr:clientData/>
  </xdr:twoCellAnchor>
  <xdr:twoCellAnchor>
    <xdr:from>
      <xdr:col>2</xdr:col>
      <xdr:colOff>0</xdr:colOff>
      <xdr:row>51</xdr:row>
      <xdr:rowOff>76200</xdr:rowOff>
    </xdr:from>
    <xdr:to>
      <xdr:col>12</xdr:col>
      <xdr:colOff>651519</xdr:colOff>
      <xdr:row>53</xdr:row>
      <xdr:rowOff>152400</xdr:rowOff>
    </xdr:to>
    <xdr:sp macro="" textlink="">
      <xdr:nvSpPr>
        <xdr:cNvPr id="15378" name="Text Box 18">
          <a:extLst>
            <a:ext uri="{FF2B5EF4-FFF2-40B4-BE49-F238E27FC236}">
              <a16:creationId xmlns:a16="http://schemas.microsoft.com/office/drawing/2014/main" id="{00000000-0008-0000-0800-0000123C0000}"/>
            </a:ext>
          </a:extLst>
        </xdr:cNvPr>
        <xdr:cNvSpPr txBox="1">
          <a:spLocks noChangeArrowheads="1"/>
        </xdr:cNvSpPr>
      </xdr:nvSpPr>
      <xdr:spPr bwMode="auto">
        <a:xfrm>
          <a:off x="390525" y="13058775"/>
          <a:ext cx="9763125" cy="609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en-AU" sz="1000" b="0" i="0" u="none" strike="noStrike" baseline="0">
              <a:solidFill>
                <a:srgbClr val="000000"/>
              </a:solidFill>
              <a:latin typeface="Arial"/>
              <a:cs typeface="Arial"/>
            </a:rPr>
            <a:t>'In accordance with the Council resolution dated 22nd June 2010, a 20% waiver of the Road Network Headworks is applicable to development for which the policy is effective, but only for those development approvals of land uses which are consistent with the relevant planning scheme and infrastructure planning commensurate with the planning scheme policies, and are decided after 30 June 2010 (to avoid overlap with Waiver 1) but prior to 30 June 2011, and all road infrastructure contributions are to be paid before 30 June 2011.</a:t>
          </a:r>
        </a:p>
      </xdr:txBody>
    </xdr:sp>
    <xdr:clientData/>
  </xdr:twoCellAnchor>
  <mc:AlternateContent xmlns:mc="http://schemas.openxmlformats.org/markup-compatibility/2006">
    <mc:Choice xmlns:a14="http://schemas.microsoft.com/office/drawing/2010/main" Requires="a14">
      <xdr:twoCellAnchor>
        <xdr:from>
          <xdr:col>2</xdr:col>
          <xdr:colOff>7620</xdr:colOff>
          <xdr:row>55</xdr:row>
          <xdr:rowOff>76200</xdr:rowOff>
        </xdr:from>
        <xdr:to>
          <xdr:col>6</xdr:col>
          <xdr:colOff>632460</xdr:colOff>
          <xdr:row>56</xdr:row>
          <xdr:rowOff>38100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8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after 30 June 2010.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56</xdr:row>
          <xdr:rowOff>45720</xdr:rowOff>
        </xdr:from>
        <xdr:to>
          <xdr:col>6</xdr:col>
          <xdr:colOff>266700</xdr:colOff>
          <xdr:row>57</xdr:row>
          <xdr:rowOff>7620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8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on, or before, 30 June 2011.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57</xdr:row>
          <xdr:rowOff>22860</xdr:rowOff>
        </xdr:from>
        <xdr:to>
          <xdr:col>9</xdr:col>
          <xdr:colOff>289560</xdr:colOff>
          <xdr:row>57</xdr:row>
          <xdr:rowOff>251460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8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Full payment of all road infrastructure contributions is made before close of business 30 June 2011.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16</xdr:row>
          <xdr:rowOff>45720</xdr:rowOff>
        </xdr:from>
        <xdr:to>
          <xdr:col>6</xdr:col>
          <xdr:colOff>845820</xdr:colOff>
          <xdr:row>17</xdr:row>
          <xdr:rowOff>45720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8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on, or after, 30/6/2009.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32</xdr:row>
          <xdr:rowOff>76200</xdr:rowOff>
        </xdr:from>
        <xdr:to>
          <xdr:col>8</xdr:col>
          <xdr:colOff>45720</xdr:colOff>
          <xdr:row>33</xdr:row>
          <xdr:rowOff>76200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8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on, or after, 30/6/2009.</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198120</xdr:colOff>
      <xdr:row>1</xdr:row>
      <xdr:rowOff>20955</xdr:rowOff>
    </xdr:from>
    <xdr:to>
      <xdr:col>11</xdr:col>
      <xdr:colOff>312427</xdr:colOff>
      <xdr:row>1</xdr:row>
      <xdr:rowOff>571584</xdr:rowOff>
    </xdr:to>
    <xdr:sp macro="" textlink="">
      <xdr:nvSpPr>
        <xdr:cNvPr id="16398" name="Text Box 14">
          <a:extLst>
            <a:ext uri="{FF2B5EF4-FFF2-40B4-BE49-F238E27FC236}">
              <a16:creationId xmlns:a16="http://schemas.microsoft.com/office/drawing/2014/main" id="{00000000-0008-0000-0900-00000E400000}"/>
            </a:ext>
          </a:extLst>
        </xdr:cNvPr>
        <xdr:cNvSpPr txBox="1">
          <a:spLocks noChangeArrowheads="1"/>
        </xdr:cNvSpPr>
      </xdr:nvSpPr>
      <xdr:spPr bwMode="auto">
        <a:xfrm>
          <a:off x="200025" y="457200"/>
          <a:ext cx="8267700" cy="552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has made a resolution concerning the waiving of sewer and water supply infrastructure contributions. The applicable waiver is calculated from information in the Sewer &amp; Water worksheet, and transferred to the Summary worksheet.</a:t>
          </a:r>
        </a:p>
      </xdr:txBody>
    </xdr:sp>
    <xdr:clientData/>
  </xdr:twoCellAnchor>
  <xdr:twoCellAnchor>
    <xdr:from>
      <xdr:col>0</xdr:col>
      <xdr:colOff>198120</xdr:colOff>
      <xdr:row>1</xdr:row>
      <xdr:rowOff>571500</xdr:rowOff>
    </xdr:from>
    <xdr:to>
      <xdr:col>11</xdr:col>
      <xdr:colOff>434340</xdr:colOff>
      <xdr:row>3</xdr:row>
      <xdr:rowOff>142875</xdr:rowOff>
    </xdr:to>
    <xdr:sp macro="" textlink="">
      <xdr:nvSpPr>
        <xdr:cNvPr id="16399" name="Text Box 15">
          <a:extLst>
            <a:ext uri="{FF2B5EF4-FFF2-40B4-BE49-F238E27FC236}">
              <a16:creationId xmlns:a16="http://schemas.microsoft.com/office/drawing/2014/main" id="{00000000-0008-0000-0900-00000F400000}"/>
            </a:ext>
          </a:extLst>
        </xdr:cNvPr>
        <xdr:cNvSpPr txBox="1">
          <a:spLocks noChangeArrowheads="1"/>
        </xdr:cNvSpPr>
      </xdr:nvSpPr>
      <xdr:spPr bwMode="auto">
        <a:xfrm>
          <a:off x="200025" y="1009650"/>
          <a:ext cx="8391525"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28th September 2010, in recognition of stepped demand for different residential lot sizes, a partial waiver of the water supply &amp; sewer is applicable to development involving small freehold residential lots.</a:t>
          </a:r>
        </a:p>
      </xdr:txBody>
    </xdr:sp>
    <xdr:clientData/>
  </xdr:twoCellAnchor>
  <xdr:twoCellAnchor>
    <xdr:from>
      <xdr:col>2</xdr:col>
      <xdr:colOff>9525</xdr:colOff>
      <xdr:row>14</xdr:row>
      <xdr:rowOff>0</xdr:rowOff>
    </xdr:from>
    <xdr:to>
      <xdr:col>13</xdr:col>
      <xdr:colOff>95260</xdr:colOff>
      <xdr:row>14</xdr:row>
      <xdr:rowOff>0</xdr:rowOff>
    </xdr:to>
    <xdr:sp macro="" textlink="">
      <xdr:nvSpPr>
        <xdr:cNvPr id="16401" name="Text Box 17">
          <a:extLst>
            <a:ext uri="{FF2B5EF4-FFF2-40B4-BE49-F238E27FC236}">
              <a16:creationId xmlns:a16="http://schemas.microsoft.com/office/drawing/2014/main" id="{00000000-0008-0000-0900-000011400000}"/>
            </a:ext>
          </a:extLst>
        </xdr:cNvPr>
        <xdr:cNvSpPr txBox="1">
          <a:spLocks noChangeArrowheads="1"/>
        </xdr:cNvSpPr>
      </xdr:nvSpPr>
      <xdr:spPr bwMode="auto">
        <a:xfrm>
          <a:off x="400050" y="4114800"/>
          <a:ext cx="9534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Values represent 10% of the average annual growth, derived from 2006 - 2011 sectoral traffic generation demand (policy, p.48).</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While any single development exceeding such limits may still be within the planned annual growth, there is a strong likelihood that a number of similar developments are being proposed at the same time, and the aggregate effect of such growth needs to be checked to ensure the infrastructure is also available.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 Type="http://schemas.openxmlformats.org/officeDocument/2006/relationships/drawing" Target="../drawings/drawing10.xml"/><Relationship Id="rId21" Type="http://schemas.openxmlformats.org/officeDocument/2006/relationships/ctrlProp" Target="../ctrlProps/ctrlProp63.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2" Type="http://schemas.openxmlformats.org/officeDocument/2006/relationships/printerSettings" Target="../printerSettings/printerSettings22.bin"/><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1" Type="http://schemas.openxmlformats.org/officeDocument/2006/relationships/printerSettings" Target="../printerSettings/printerSettings21.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 Type="http://schemas.openxmlformats.org/officeDocument/2006/relationships/vmlDrawing" Target="../drawings/vmlDrawing7.v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trlProp" Target="../ctrlProps/ctrlProp1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6.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4.vml"/><Relationship Id="rId9"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drawing" Target="../drawings/drawing7.x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vmlDrawing" Target="../drawings/vmlDrawing5.vml"/><Relationship Id="rId9"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drawing" Target="../drawings/drawing8.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printerSettings" Target="../printerSettings/printerSettings18.bin"/><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17.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vmlDrawing" Target="../drawings/vmlDrawing6.v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P48"/>
  <sheetViews>
    <sheetView showGridLines="0" tabSelected="1" zoomScale="130" zoomScaleNormal="130" workbookViewId="0">
      <selection activeCell="Q21" sqref="Q21"/>
    </sheetView>
  </sheetViews>
  <sheetFormatPr defaultColWidth="9.109375" defaultRowHeight="13.2" x14ac:dyDescent="0.25"/>
  <cols>
    <col min="1" max="1" width="2.109375" style="61" customWidth="1"/>
    <col min="2" max="16384" width="9.109375" style="61"/>
  </cols>
  <sheetData>
    <row r="2" spans="2:16" x14ac:dyDescent="0.25">
      <c r="B2" s="61" t="s">
        <v>183</v>
      </c>
    </row>
    <row r="4" spans="2:16" ht="30" x14ac:dyDescent="0.5">
      <c r="B4" s="62" t="s">
        <v>182</v>
      </c>
    </row>
    <row r="5" spans="2:16" ht="22.8" x14ac:dyDescent="0.4">
      <c r="B5" s="63" t="s">
        <v>184</v>
      </c>
    </row>
    <row r="6" spans="2:16" ht="17.25" customHeight="1" x14ac:dyDescent="0.4">
      <c r="B6" s="63"/>
    </row>
    <row r="7" spans="2:16" ht="15" x14ac:dyDescent="0.25">
      <c r="B7" s="64" t="str">
        <f>+"Version "&amp;INDEX(Amendments!$A$2:$A$64,MATCH(MAX(Amendments!$B$2:$B$64),Amendments!$B$2:$B$64,0))</f>
        <v>Version 5.60</v>
      </c>
    </row>
    <row r="9" spans="2:16" x14ac:dyDescent="0.25">
      <c r="B9" s="61" t="s">
        <v>185</v>
      </c>
    </row>
    <row r="10" spans="2:16" x14ac:dyDescent="0.25">
      <c r="B10" s="65" t="s">
        <v>708</v>
      </c>
    </row>
    <row r="11" spans="2:16" x14ac:dyDescent="0.25">
      <c r="B11" s="65"/>
    </row>
    <row r="12" spans="2:16" s="491" customFormat="1" x14ac:dyDescent="0.25">
      <c r="B12" s="66" t="s">
        <v>288</v>
      </c>
    </row>
    <row r="13" spans="2:16" x14ac:dyDescent="0.25">
      <c r="B13" s="65" t="s">
        <v>289</v>
      </c>
    </row>
    <row r="14" spans="2:16" x14ac:dyDescent="0.25">
      <c r="B14" s="492" t="s">
        <v>676</v>
      </c>
    </row>
    <row r="15" spans="2:16" x14ac:dyDescent="0.25">
      <c r="B15" s="492" t="s">
        <v>686</v>
      </c>
      <c r="C15" s="492"/>
      <c r="D15" s="492"/>
      <c r="E15" s="492"/>
      <c r="F15" s="492"/>
      <c r="G15" s="492"/>
      <c r="H15" s="492"/>
      <c r="I15" s="492"/>
      <c r="J15" s="492"/>
      <c r="K15" s="492"/>
      <c r="L15" s="492"/>
      <c r="M15" s="492"/>
      <c r="N15" s="492"/>
      <c r="O15" s="492"/>
      <c r="P15" s="492"/>
    </row>
    <row r="16" spans="2:16" x14ac:dyDescent="0.25">
      <c r="B16" s="492" t="s">
        <v>684</v>
      </c>
      <c r="C16" s="492"/>
      <c r="D16" s="492"/>
      <c r="E16" s="492"/>
      <c r="F16" s="492"/>
      <c r="G16" s="492"/>
      <c r="H16" s="492"/>
      <c r="I16" s="492"/>
      <c r="J16" s="492"/>
      <c r="K16" s="492"/>
      <c r="L16" s="492"/>
      <c r="M16" s="492"/>
      <c r="N16" s="492"/>
      <c r="O16" s="492"/>
      <c r="P16" s="492"/>
    </row>
    <row r="17" spans="2:16" x14ac:dyDescent="0.25">
      <c r="B17" s="492"/>
      <c r="C17" s="492"/>
      <c r="D17" s="492"/>
      <c r="E17" s="492"/>
      <c r="F17" s="492"/>
      <c r="G17" s="492"/>
      <c r="H17" s="492"/>
      <c r="I17" s="492"/>
      <c r="J17" s="492"/>
      <c r="K17" s="492"/>
      <c r="L17" s="492"/>
      <c r="M17" s="492"/>
      <c r="N17" s="492"/>
      <c r="O17" s="492"/>
      <c r="P17" s="492"/>
    </row>
    <row r="18" spans="2:16" x14ac:dyDescent="0.25">
      <c r="B18" s="493" t="s">
        <v>290</v>
      </c>
      <c r="C18" s="492"/>
      <c r="D18" s="492"/>
      <c r="E18" s="492"/>
      <c r="F18" s="492"/>
      <c r="G18" s="492"/>
      <c r="H18" s="492"/>
      <c r="I18" s="492"/>
      <c r="J18" s="492"/>
      <c r="K18" s="492"/>
      <c r="L18" s="492"/>
      <c r="M18" s="492"/>
      <c r="N18" s="492"/>
      <c r="O18" s="492"/>
      <c r="P18" s="492"/>
    </row>
    <row r="19" spans="2:16" x14ac:dyDescent="0.25">
      <c r="B19" s="492" t="s">
        <v>685</v>
      </c>
      <c r="C19" s="492"/>
      <c r="D19" s="492"/>
      <c r="E19" s="492"/>
      <c r="F19" s="492"/>
      <c r="G19" s="492"/>
      <c r="H19" s="492"/>
      <c r="I19" s="492"/>
      <c r="J19" s="492"/>
      <c r="K19" s="492"/>
      <c r="L19" s="492"/>
      <c r="M19" s="492"/>
      <c r="N19" s="492"/>
      <c r="O19" s="492"/>
      <c r="P19" s="492"/>
    </row>
    <row r="20" spans="2:16" x14ac:dyDescent="0.25">
      <c r="B20" s="492" t="s">
        <v>680</v>
      </c>
      <c r="C20" s="492"/>
      <c r="D20" s="492"/>
      <c r="E20" s="492"/>
      <c r="F20" s="492"/>
      <c r="G20" s="492"/>
      <c r="H20" s="492"/>
      <c r="I20" s="492"/>
      <c r="J20" s="492"/>
      <c r="K20" s="492"/>
      <c r="L20" s="492"/>
      <c r="M20" s="492"/>
      <c r="N20" s="492"/>
      <c r="O20" s="492"/>
      <c r="P20" s="492"/>
    </row>
    <row r="21" spans="2:16" x14ac:dyDescent="0.25">
      <c r="B21" s="492" t="s">
        <v>681</v>
      </c>
      <c r="C21" s="492"/>
      <c r="D21" s="492"/>
      <c r="E21" s="492"/>
      <c r="F21" s="492"/>
      <c r="G21" s="492"/>
      <c r="H21" s="492"/>
      <c r="I21" s="492"/>
      <c r="J21" s="492"/>
      <c r="K21" s="492"/>
      <c r="L21" s="492"/>
      <c r="M21" s="492"/>
      <c r="N21" s="492"/>
      <c r="O21" s="492"/>
      <c r="P21" s="492"/>
    </row>
    <row r="22" spans="2:16" x14ac:dyDescent="0.25">
      <c r="B22" s="492" t="s">
        <v>682</v>
      </c>
      <c r="C22" s="492"/>
      <c r="D22" s="492"/>
      <c r="E22" s="492"/>
      <c r="F22" s="492"/>
      <c r="G22" s="492"/>
      <c r="H22" s="492"/>
      <c r="I22" s="492"/>
      <c r="J22" s="492"/>
      <c r="K22" s="492"/>
      <c r="L22" s="492"/>
      <c r="M22" s="492"/>
      <c r="N22" s="492"/>
      <c r="O22" s="492"/>
      <c r="P22" s="492"/>
    </row>
    <row r="23" spans="2:16" x14ac:dyDescent="0.25">
      <c r="B23" s="494" t="s">
        <v>678</v>
      </c>
      <c r="C23" s="492"/>
      <c r="D23" s="492"/>
      <c r="E23" s="492"/>
      <c r="F23" s="492"/>
      <c r="G23" s="492"/>
      <c r="H23" s="492"/>
      <c r="I23" s="492"/>
      <c r="J23" s="492"/>
      <c r="K23" s="492"/>
      <c r="L23" s="492"/>
      <c r="M23" s="492"/>
      <c r="N23" s="492"/>
      <c r="O23" s="492"/>
      <c r="P23" s="492"/>
    </row>
    <row r="24" spans="2:16" x14ac:dyDescent="0.25">
      <c r="B24" s="492" t="s">
        <v>683</v>
      </c>
      <c r="C24" s="492"/>
      <c r="D24" s="492"/>
      <c r="E24" s="492"/>
      <c r="F24" s="492"/>
      <c r="G24" s="492"/>
      <c r="H24" s="492"/>
      <c r="I24" s="492"/>
      <c r="J24" s="492"/>
      <c r="K24" s="492"/>
      <c r="L24" s="492"/>
      <c r="M24" s="492"/>
      <c r="N24" s="492"/>
      <c r="O24" s="492"/>
      <c r="P24" s="492"/>
    </row>
    <row r="25" spans="2:16" x14ac:dyDescent="0.25">
      <c r="B25" s="492"/>
      <c r="C25" s="492"/>
      <c r="D25" s="492"/>
      <c r="E25" s="492"/>
      <c r="F25" s="492"/>
      <c r="G25" s="492"/>
      <c r="H25" s="492"/>
      <c r="I25" s="492"/>
      <c r="J25" s="492"/>
      <c r="K25" s="492"/>
      <c r="L25" s="492"/>
      <c r="M25" s="492"/>
      <c r="N25" s="492"/>
      <c r="O25" s="492"/>
      <c r="P25" s="492"/>
    </row>
    <row r="26" spans="2:16" x14ac:dyDescent="0.25">
      <c r="B26" s="493" t="s">
        <v>291</v>
      </c>
      <c r="C26" s="492"/>
      <c r="D26" s="492"/>
      <c r="E26" s="492"/>
      <c r="F26" s="492"/>
      <c r="G26" s="492"/>
      <c r="H26" s="492"/>
      <c r="I26" s="492"/>
      <c r="J26" s="492"/>
      <c r="K26" s="492"/>
      <c r="L26" s="492"/>
      <c r="M26" s="492"/>
      <c r="N26" s="492"/>
      <c r="O26" s="492"/>
      <c r="P26" s="492"/>
    </row>
    <row r="27" spans="2:16" x14ac:dyDescent="0.25">
      <c r="B27" s="61" t="s">
        <v>186</v>
      </c>
    </row>
    <row r="28" spans="2:16" x14ac:dyDescent="0.25">
      <c r="B28" s="61" t="s">
        <v>187</v>
      </c>
    </row>
    <row r="29" spans="2:16" x14ac:dyDescent="0.25">
      <c r="B29" s="61" t="s">
        <v>188</v>
      </c>
    </row>
    <row r="30" spans="2:16" x14ac:dyDescent="0.25">
      <c r="B30" s="61" t="s">
        <v>674</v>
      </c>
    </row>
    <row r="31" spans="2:16" x14ac:dyDescent="0.25">
      <c r="B31" s="61" t="s">
        <v>679</v>
      </c>
    </row>
    <row r="32" spans="2:16" x14ac:dyDescent="0.25">
      <c r="B32" s="65" t="s">
        <v>677</v>
      </c>
    </row>
    <row r="33" spans="2:14" x14ac:dyDescent="0.25">
      <c r="B33" s="65"/>
    </row>
    <row r="34" spans="2:14" x14ac:dyDescent="0.25">
      <c r="B34" s="66" t="s">
        <v>323</v>
      </c>
    </row>
    <row r="35" spans="2:14" ht="39" customHeight="1" x14ac:dyDescent="0.25">
      <c r="B35" s="531" t="s">
        <v>673</v>
      </c>
      <c r="C35" s="532"/>
      <c r="D35" s="532"/>
      <c r="E35" s="532"/>
      <c r="F35" s="532"/>
      <c r="G35" s="532"/>
      <c r="H35" s="532"/>
      <c r="I35" s="532"/>
      <c r="J35" s="532"/>
      <c r="K35" s="532"/>
      <c r="L35" s="532"/>
      <c r="M35" s="532"/>
      <c r="N35" s="532"/>
    </row>
    <row r="47" spans="2:14" x14ac:dyDescent="0.25">
      <c r="B47" s="490"/>
      <c r="C47" s="489"/>
    </row>
    <row r="48" spans="2:14" x14ac:dyDescent="0.25">
      <c r="B48" s="104"/>
    </row>
  </sheetData>
  <sheetProtection algorithmName="SHA-512" hashValue="aPhHsEaGHg32szn9fBpu0DGpC/v6Q596cuDNM/az43oFPbKTG2r6foZFHBgyS1TyGnCVnY80l9pGBuHYEVrFiA==" saltValue="czMqzVpmnYAq3icuXflg2Q==" spinCount="100000" sheet="1" objects="1" scenarios="1"/>
  <customSheetViews>
    <customSheetView guid="{27B7C317-A4C8-4AFE-A1B4-96A5038E57EE}" scale="110" showGridLines="0" fitToPage="1" printArea="1" showRuler="0" topLeftCell="A5">
      <selection activeCell="L14" sqref="L14"/>
      <pageMargins left="0.75" right="0.75" top="1" bottom="1" header="0.5" footer="0.5"/>
      <pageSetup paperSize="9" scale="67" orientation="portrait" horizontalDpi="300" verticalDpi="300" r:id="rId1"/>
      <headerFooter alignWithMargins="0"/>
    </customSheetView>
  </customSheetViews>
  <mergeCells count="1">
    <mergeCell ref="B35:N35"/>
  </mergeCells>
  <phoneticPr fontId="4" type="noConversion"/>
  <pageMargins left="0.75" right="0.75" top="1" bottom="1" header="0.5" footer="0.5"/>
  <pageSetup paperSize="9" scale="67"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4"/>
  <sheetViews>
    <sheetView zoomScale="75" zoomScaleNormal="75" workbookViewId="0"/>
  </sheetViews>
  <sheetFormatPr defaultColWidth="9.109375" defaultRowHeight="13.2" x14ac:dyDescent="0.25"/>
  <cols>
    <col min="1" max="1" width="3.109375" style="61" customWidth="1"/>
    <col min="2" max="2" width="2.6640625" style="61" customWidth="1"/>
    <col min="3" max="3" width="35.44140625" style="61" customWidth="1"/>
    <col min="4" max="10" width="10.109375" style="61" customWidth="1"/>
    <col min="11" max="11" width="10.109375" style="109" customWidth="1"/>
    <col min="12" max="12" width="13.109375" style="61" customWidth="1"/>
    <col min="13" max="13" width="11.88671875" style="61" customWidth="1"/>
    <col min="14" max="14" width="10.6640625" style="61" customWidth="1"/>
    <col min="15" max="15" width="21.88671875" style="61" customWidth="1"/>
    <col min="16" max="16" width="13.5546875" style="61" customWidth="1"/>
    <col min="17" max="17" width="9" style="61" customWidth="1"/>
    <col min="18" max="18" width="13.109375" style="61" customWidth="1"/>
    <col min="19" max="20" width="9.109375" style="61"/>
    <col min="21" max="21" width="9.109375" style="61" hidden="1" customWidth="1"/>
    <col min="22" max="22" width="9.109375" style="61"/>
    <col min="23" max="23" width="21.6640625" style="61" customWidth="1"/>
    <col min="24" max="16384" width="9.109375" style="61"/>
  </cols>
  <sheetData>
    <row r="1" spans="1:22" ht="34.5" customHeight="1" x14ac:dyDescent="0.25">
      <c r="A1" s="325" t="s">
        <v>666</v>
      </c>
      <c r="B1" s="324"/>
      <c r="C1" s="324"/>
      <c r="D1" s="324"/>
      <c r="E1" s="324"/>
      <c r="F1" s="324"/>
      <c r="G1" s="324"/>
      <c r="H1" s="324"/>
      <c r="I1" s="324"/>
      <c r="J1" s="324"/>
      <c r="K1" s="387"/>
      <c r="L1" s="324"/>
      <c r="M1" s="324"/>
      <c r="N1" s="324"/>
      <c r="U1" s="149"/>
    </row>
    <row r="2" spans="1:22" ht="46.5" customHeight="1" x14ac:dyDescent="0.25">
      <c r="A2" s="294"/>
      <c r="B2" s="297"/>
      <c r="C2" s="297"/>
      <c r="D2" s="297"/>
      <c r="E2" s="297"/>
      <c r="F2" s="297"/>
      <c r="G2" s="297"/>
      <c r="H2" s="297"/>
      <c r="I2" s="297"/>
      <c r="J2" s="297"/>
      <c r="K2" s="388"/>
      <c r="L2" s="297"/>
      <c r="M2" s="297"/>
      <c r="N2" s="297"/>
      <c r="O2" s="297"/>
      <c r="P2" s="297"/>
      <c r="Q2" s="297"/>
      <c r="R2" s="297"/>
      <c r="S2" s="297"/>
      <c r="T2" s="297"/>
      <c r="U2" s="297"/>
    </row>
    <row r="3" spans="1:22" ht="23.25" customHeight="1" x14ac:dyDescent="0.25">
      <c r="B3" s="112"/>
      <c r="C3" s="98"/>
      <c r="D3" s="98"/>
      <c r="V3" s="149"/>
    </row>
    <row r="4" spans="1:22" ht="21" customHeight="1" x14ac:dyDescent="0.25">
      <c r="B4" s="112"/>
      <c r="C4" s="98"/>
      <c r="D4" s="98"/>
      <c r="V4" s="149"/>
    </row>
    <row r="5" spans="1:22" ht="15.6" x14ac:dyDescent="0.3">
      <c r="A5" s="141"/>
      <c r="B5" s="112" t="s">
        <v>568</v>
      </c>
      <c r="C5" s="296"/>
      <c r="D5" s="296"/>
      <c r="E5" s="296"/>
      <c r="F5" s="296"/>
      <c r="G5" s="296"/>
      <c r="H5" s="296"/>
      <c r="I5" s="296"/>
      <c r="J5" s="296"/>
      <c r="K5" s="389"/>
      <c r="L5" s="296"/>
      <c r="M5" s="296"/>
      <c r="O5" s="296"/>
      <c r="P5" s="296"/>
      <c r="Q5" s="296"/>
      <c r="R5" s="296"/>
      <c r="S5" s="296"/>
      <c r="T5" s="296"/>
      <c r="U5" s="296"/>
      <c r="V5" s="149"/>
    </row>
    <row r="6" spans="1:22" ht="15.6" x14ac:dyDescent="0.3">
      <c r="A6" s="141"/>
      <c r="B6" s="300"/>
      <c r="C6" s="296"/>
      <c r="D6" s="296"/>
      <c r="E6" s="296"/>
      <c r="F6" s="296"/>
      <c r="G6" s="296"/>
      <c r="H6" s="296"/>
      <c r="I6" s="296"/>
      <c r="J6" s="296"/>
      <c r="K6" s="389"/>
      <c r="L6" s="296"/>
      <c r="M6" s="296"/>
      <c r="O6" s="296"/>
      <c r="P6" s="296"/>
      <c r="Q6" s="296"/>
      <c r="R6" s="296"/>
      <c r="S6" s="296"/>
      <c r="T6" s="296"/>
      <c r="U6" s="296"/>
      <c r="V6" s="149"/>
    </row>
    <row r="7" spans="1:22" ht="27.75" customHeight="1" x14ac:dyDescent="0.3">
      <c r="A7" s="141"/>
      <c r="B7" s="296"/>
      <c r="C7" s="673" t="s">
        <v>558</v>
      </c>
      <c r="D7" s="673" t="s">
        <v>462</v>
      </c>
      <c r="E7" s="673" t="s">
        <v>559</v>
      </c>
      <c r="F7" s="673" t="s">
        <v>561</v>
      </c>
      <c r="G7" s="673" t="s">
        <v>566</v>
      </c>
      <c r="H7" s="671" t="str">
        <f>"Net Contribution            ($ "&amp;'Sewer &amp; Water'!J31&amp;" )"</f>
        <v>Net Contribution            ($ Jun '09 )</v>
      </c>
      <c r="I7" s="672"/>
      <c r="J7" s="671" t="s">
        <v>560</v>
      </c>
      <c r="K7" s="672"/>
      <c r="L7" s="296"/>
      <c r="M7" s="296"/>
      <c r="O7" s="296"/>
      <c r="P7" s="296"/>
      <c r="Q7" s="296"/>
      <c r="R7" s="296"/>
      <c r="S7" s="296"/>
      <c r="T7" s="296"/>
      <c r="U7" s="296"/>
      <c r="V7" s="149"/>
    </row>
    <row r="8" spans="1:22" ht="15.6" x14ac:dyDescent="0.3">
      <c r="A8" s="141"/>
      <c r="B8" s="296"/>
      <c r="C8" s="674"/>
      <c r="D8" s="674"/>
      <c r="E8" s="674"/>
      <c r="F8" s="674"/>
      <c r="G8" s="674"/>
      <c r="H8" s="395" t="s">
        <v>180</v>
      </c>
      <c r="I8" s="386" t="s">
        <v>181</v>
      </c>
      <c r="J8" s="386" t="s">
        <v>180</v>
      </c>
      <c r="K8" s="396" t="s">
        <v>181</v>
      </c>
      <c r="L8" s="296"/>
      <c r="M8" s="296"/>
      <c r="N8" s="390"/>
      <c r="O8" s="296"/>
      <c r="P8" s="296"/>
      <c r="Q8" s="296"/>
      <c r="R8" s="296"/>
      <c r="S8" s="296"/>
      <c r="T8" s="296"/>
      <c r="U8" s="296"/>
      <c r="V8" s="149"/>
    </row>
    <row r="9" spans="1:22" ht="21.75" customHeight="1" x14ac:dyDescent="0.3">
      <c r="A9" s="141"/>
      <c r="B9" s="296"/>
      <c r="C9" s="392" t="str">
        <f>+'Sewer &amp; Water'!B84</f>
        <v>Residential allotment less than 200m2</v>
      </c>
      <c r="D9" s="239">
        <v>29</v>
      </c>
      <c r="E9" s="398">
        <f>+SUMIF('Sewer &amp; Water'!$U$10:$U$14,'Waiver 4'!C9,'Sewer &amp; Water'!$V$10:$V$14)</f>
        <v>0</v>
      </c>
      <c r="F9" s="399">
        <f>+E9*'Sewer &amp; Water'!F84</f>
        <v>0</v>
      </c>
      <c r="G9" s="399">
        <f>+IF($E$13=0,0,'Sewer &amp; Water'!$J$26/'Waiver 4'!$E$13*'Waiver 4'!E9)</f>
        <v>0</v>
      </c>
      <c r="H9" s="401">
        <f>+MAX(0,($F9-$G9)*'Sewer &amp; Water'!$I$31)</f>
        <v>0</v>
      </c>
      <c r="I9" s="234">
        <f>+MAX(0,($F9-$G9)*'Sewer &amp; Water'!$I$32)</f>
        <v>0</v>
      </c>
      <c r="J9" s="16">
        <f t="shared" ref="J9:K12" si="0">+H9*$D9/100</f>
        <v>0</v>
      </c>
      <c r="K9" s="397">
        <f t="shared" si="0"/>
        <v>0</v>
      </c>
      <c r="L9" s="391"/>
      <c r="M9" s="296"/>
      <c r="N9" s="391"/>
      <c r="P9" s="296"/>
      <c r="Q9" s="296"/>
      <c r="R9" s="296"/>
      <c r="S9" s="296"/>
      <c r="T9" s="296"/>
      <c r="U9" s="296"/>
      <c r="V9" s="149"/>
    </row>
    <row r="10" spans="1:22" ht="21.75" customHeight="1" x14ac:dyDescent="0.3">
      <c r="A10" s="141"/>
      <c r="B10" s="296"/>
      <c r="C10" s="392" t="str">
        <f>+'Sewer &amp; Water'!B85</f>
        <v>Residential allotment 200m2 to 299m2</v>
      </c>
      <c r="D10" s="239">
        <v>14</v>
      </c>
      <c r="E10" s="398">
        <f>+SUMIF('Sewer &amp; Water'!$U$10:$U$14,'Waiver 4'!C10,'Sewer &amp; Water'!$V$10:$V$14)</f>
        <v>0</v>
      </c>
      <c r="F10" s="399">
        <f>+E10*'Sewer &amp; Water'!F85</f>
        <v>0</v>
      </c>
      <c r="G10" s="399">
        <f>+IF($E$13=0,0,'Sewer &amp; Water'!$J$26/'Waiver 4'!$E$13*'Waiver 4'!E10)</f>
        <v>0</v>
      </c>
      <c r="H10" s="401">
        <f>+MAX(0,($F10-$G10)*'Sewer &amp; Water'!$I$31)</f>
        <v>0</v>
      </c>
      <c r="I10" s="234">
        <f>+MAX(0,($F10-$G10)*'Sewer &amp; Water'!$I$32)</f>
        <v>0</v>
      </c>
      <c r="J10" s="16">
        <f t="shared" si="0"/>
        <v>0</v>
      </c>
      <c r="K10" s="397">
        <f t="shared" si="0"/>
        <v>0</v>
      </c>
      <c r="L10" s="391"/>
      <c r="M10" s="296"/>
      <c r="N10" s="391"/>
      <c r="P10" s="296"/>
      <c r="Q10" s="296"/>
      <c r="R10" s="296"/>
      <c r="S10" s="296"/>
      <c r="T10" s="296"/>
      <c r="U10" s="296"/>
      <c r="V10" s="149"/>
    </row>
    <row r="11" spans="1:22" ht="21.75" customHeight="1" x14ac:dyDescent="0.3">
      <c r="A11" s="141"/>
      <c r="B11" s="296"/>
      <c r="C11" s="392" t="str">
        <f>+'Sewer &amp; Water'!B86</f>
        <v>Residential allotment 300m2 to 399m2</v>
      </c>
      <c r="D11" s="239">
        <v>7</v>
      </c>
      <c r="E11" s="398">
        <f>+SUMIF('Sewer &amp; Water'!$U$10:$U$14,'Waiver 4'!C11,'Sewer &amp; Water'!$V$10:$V$14)</f>
        <v>0</v>
      </c>
      <c r="F11" s="399">
        <f>+E11*'Sewer &amp; Water'!F86</f>
        <v>0</v>
      </c>
      <c r="G11" s="399">
        <f>+IF($E$13=0,0,'Sewer &amp; Water'!$J$26/'Waiver 4'!$E$13*'Waiver 4'!E11)</f>
        <v>0</v>
      </c>
      <c r="H11" s="401">
        <f>+MAX(0,($F11-$G11)*'Sewer &amp; Water'!$I$31)</f>
        <v>0</v>
      </c>
      <c r="I11" s="234">
        <f>+MAX(0,($F11-$G11)*'Sewer &amp; Water'!$I$32)</f>
        <v>0</v>
      </c>
      <c r="J11" s="16">
        <f t="shared" si="0"/>
        <v>0</v>
      </c>
      <c r="K11" s="397">
        <f t="shared" si="0"/>
        <v>0</v>
      </c>
      <c r="L11" s="391"/>
      <c r="M11" s="296"/>
      <c r="N11" s="391"/>
      <c r="P11" s="296"/>
      <c r="Q11" s="296"/>
      <c r="R11" s="296"/>
      <c r="S11" s="296"/>
      <c r="T11" s="296"/>
      <c r="U11" s="296"/>
      <c r="V11" s="149"/>
    </row>
    <row r="12" spans="1:22" ht="21.75" customHeight="1" x14ac:dyDescent="0.3">
      <c r="A12" s="141"/>
      <c r="B12" s="296"/>
      <c r="C12" s="392" t="str">
        <f>+'Sewer &amp; Water'!B87</f>
        <v>Residential allotment 400m2 or larger</v>
      </c>
      <c r="D12" s="239">
        <v>0</v>
      </c>
      <c r="E12" s="398">
        <f>+SUMIF('Sewer &amp; Water'!$U$10:$U$14,'Waiver 4'!C12,'Sewer &amp; Water'!$V$10:$V$14)</f>
        <v>0</v>
      </c>
      <c r="F12" s="399">
        <f>+E12*'Sewer &amp; Water'!F87</f>
        <v>0</v>
      </c>
      <c r="G12" s="399">
        <f>+IF($E$13=0,0,'Sewer &amp; Water'!$J$26/'Waiver 4'!$E$13*'Waiver 4'!E12)</f>
        <v>0</v>
      </c>
      <c r="H12" s="401">
        <f>+MAX(0,($F12-$G12)*'Sewer &amp; Water'!$I$31)</f>
        <v>0</v>
      </c>
      <c r="I12" s="234">
        <f>+MAX(0,($F12-$G12)*'Sewer &amp; Water'!$I$32)</f>
        <v>0</v>
      </c>
      <c r="J12" s="16">
        <f t="shared" si="0"/>
        <v>0</v>
      </c>
      <c r="K12" s="397">
        <f t="shared" si="0"/>
        <v>0</v>
      </c>
      <c r="L12" s="391"/>
      <c r="M12" s="296"/>
      <c r="N12" s="391"/>
      <c r="P12" s="296"/>
      <c r="Q12" s="296"/>
      <c r="R12" s="296"/>
      <c r="S12" s="296"/>
      <c r="T12" s="296"/>
      <c r="U12" s="296"/>
      <c r="V12" s="149"/>
    </row>
    <row r="13" spans="1:22" ht="15.6" x14ac:dyDescent="0.3">
      <c r="A13" s="141"/>
      <c r="B13" s="296"/>
      <c r="C13" s="378" t="s">
        <v>236</v>
      </c>
      <c r="D13" s="400"/>
      <c r="E13" s="403">
        <f t="shared" ref="E13:K13" si="1">SUM(E9:E12)</f>
        <v>0</v>
      </c>
      <c r="F13" s="402">
        <f t="shared" si="1"/>
        <v>0</v>
      </c>
      <c r="G13" s="402">
        <f t="shared" si="1"/>
        <v>0</v>
      </c>
      <c r="H13" s="403">
        <f t="shared" si="1"/>
        <v>0</v>
      </c>
      <c r="I13" s="403">
        <f t="shared" si="1"/>
        <v>0</v>
      </c>
      <c r="J13" s="403">
        <f t="shared" si="1"/>
        <v>0</v>
      </c>
      <c r="K13" s="403">
        <f t="shared" si="1"/>
        <v>0</v>
      </c>
      <c r="L13" s="391"/>
      <c r="M13" s="296"/>
      <c r="N13" s="303"/>
      <c r="O13" s="296"/>
      <c r="P13" s="296"/>
      <c r="Q13" s="296"/>
      <c r="R13" s="296"/>
      <c r="S13" s="296"/>
      <c r="T13" s="296"/>
      <c r="U13" s="296"/>
      <c r="V13" s="149"/>
    </row>
    <row r="14" spans="1:22" ht="21" customHeight="1" x14ac:dyDescent="0.25">
      <c r="D14" s="296"/>
      <c r="N14" s="306"/>
    </row>
  </sheetData>
  <sheetProtection password="CDF4" sheet="1" objects="1" scenarios="1"/>
  <customSheetViews>
    <customSheetView guid="{27B7C317-A4C8-4AFE-A1B4-96A5038E57EE}" scale="75" hiddenColumns="1" showRuler="0">
      <selection activeCell="A60" sqref="A60"/>
      <pageMargins left="0.75" right="0.75" top="1" bottom="1" header="0.5" footer="0.5"/>
      <pageSetup paperSize="9" orientation="portrait" horizontalDpi="300" verticalDpi="300" r:id="rId1"/>
      <headerFooter alignWithMargins="0"/>
    </customSheetView>
  </customSheetViews>
  <mergeCells count="7">
    <mergeCell ref="H7:I7"/>
    <mergeCell ref="J7:K7"/>
    <mergeCell ref="C7:C8"/>
    <mergeCell ref="D7:D8"/>
    <mergeCell ref="E7:E8"/>
    <mergeCell ref="F7:F8"/>
    <mergeCell ref="G7:G8"/>
  </mergeCells>
  <phoneticPr fontId="4" type="noConversion"/>
  <pageMargins left="0.74803149606299213" right="0.74803149606299213" top="0.98425196850393704" bottom="0.98425196850393704" header="0.51181102362204722" footer="0.51181102362204722"/>
  <pageSetup paperSize="9" orientation="landscape" blackAndWhite="1" horizontalDpi="300" verticalDpi="300" r:id="rId2"/>
  <headerFooter alignWithMargins="0"/>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308"/>
  <sheetViews>
    <sheetView zoomScale="75" workbookViewId="0"/>
  </sheetViews>
  <sheetFormatPr defaultColWidth="9.109375" defaultRowHeight="13.2" x14ac:dyDescent="0.25"/>
  <cols>
    <col min="1" max="1" width="4.33203125" style="61" customWidth="1"/>
    <col min="2" max="2" width="12.6640625" style="61" customWidth="1"/>
    <col min="3" max="5" width="11.88671875" style="61" customWidth="1"/>
    <col min="6" max="11" width="13.6640625" style="61" customWidth="1"/>
    <col min="12" max="13" width="12.88671875" style="61" customWidth="1"/>
    <col min="14" max="14" width="12.6640625" style="61" customWidth="1"/>
    <col min="15" max="15" width="11.6640625" style="61" customWidth="1"/>
    <col min="16" max="16" width="12" style="61" customWidth="1"/>
    <col min="17" max="17" width="11.109375" style="61" customWidth="1"/>
    <col min="18" max="18" width="10.33203125" style="61" customWidth="1"/>
    <col min="19" max="19" width="9.44140625" style="61" customWidth="1"/>
    <col min="20" max="21" width="10.33203125" style="61" customWidth="1"/>
    <col min="22" max="22" width="11.109375" style="61" customWidth="1"/>
    <col min="23" max="26" width="9.109375" style="61"/>
    <col min="27" max="27" width="0" style="61" hidden="1" customWidth="1"/>
    <col min="28" max="16384" width="9.109375" style="61"/>
  </cols>
  <sheetData>
    <row r="1" spans="1:27" ht="15.75" customHeight="1" x14ac:dyDescent="0.25">
      <c r="A1" s="468" t="s">
        <v>690</v>
      </c>
      <c r="B1" s="324"/>
      <c r="C1" s="324"/>
      <c r="D1" s="324"/>
      <c r="E1" s="324"/>
      <c r="F1" s="324"/>
      <c r="G1" s="324"/>
      <c r="H1" s="324"/>
      <c r="I1" s="324"/>
      <c r="J1" s="324"/>
      <c r="K1" s="324"/>
      <c r="L1" s="324"/>
      <c r="M1" s="324"/>
      <c r="N1" s="492"/>
      <c r="O1" s="324"/>
      <c r="R1" s="65"/>
      <c r="S1" s="65"/>
      <c r="T1" s="65"/>
      <c r="U1" s="65"/>
      <c r="V1" s="65"/>
      <c r="W1" s="65"/>
      <c r="X1" s="65"/>
      <c r="Y1" s="65"/>
    </row>
    <row r="2" spans="1:27" ht="15.75" customHeight="1" x14ac:dyDescent="0.25">
      <c r="A2" s="297"/>
      <c r="B2" s="297"/>
      <c r="C2" s="297"/>
      <c r="D2" s="297"/>
      <c r="E2" s="297"/>
      <c r="F2" s="297"/>
      <c r="G2" s="297"/>
      <c r="H2" s="297"/>
      <c r="I2" s="297"/>
      <c r="J2" s="297"/>
      <c r="K2" s="297"/>
      <c r="L2" s="297"/>
      <c r="M2" s="297"/>
      <c r="N2" s="388"/>
      <c r="O2" s="297"/>
      <c r="Q2" s="65"/>
      <c r="R2" s="65"/>
      <c r="S2" s="65"/>
      <c r="T2" s="65"/>
      <c r="U2" s="65"/>
      <c r="V2" s="65"/>
      <c r="W2" s="65"/>
      <c r="X2" s="65"/>
      <c r="Y2" s="65"/>
    </row>
    <row r="3" spans="1:27" ht="15.75" customHeight="1" x14ac:dyDescent="0.25">
      <c r="A3" s="112"/>
      <c r="B3" s="98"/>
      <c r="C3" s="98"/>
      <c r="D3" s="98"/>
      <c r="E3" s="98"/>
      <c r="F3" s="98"/>
      <c r="G3" s="98"/>
      <c r="N3" s="109"/>
      <c r="Q3" s="65"/>
      <c r="R3" s="65"/>
      <c r="S3" s="65"/>
      <c r="T3" s="65"/>
      <c r="U3" s="65"/>
      <c r="V3" s="65"/>
      <c r="W3" s="65"/>
      <c r="X3" s="65"/>
      <c r="Y3" s="65"/>
    </row>
    <row r="4" spans="1:27" ht="15.75" customHeight="1" x14ac:dyDescent="0.25">
      <c r="A4" s="112"/>
      <c r="B4" s="98"/>
      <c r="C4" s="98"/>
      <c r="D4" s="98"/>
      <c r="E4" s="98"/>
      <c r="F4" s="98"/>
      <c r="G4" s="98"/>
      <c r="N4" s="109"/>
      <c r="Q4" s="65"/>
      <c r="R4" s="65"/>
      <c r="S4" s="65"/>
      <c r="T4" s="65"/>
      <c r="U4" s="65"/>
      <c r="V4" s="65"/>
      <c r="W4" s="65"/>
      <c r="X4" s="65"/>
      <c r="Y4" s="65"/>
    </row>
    <row r="5" spans="1:27" ht="15.75" customHeight="1" x14ac:dyDescent="0.25">
      <c r="H5" s="88"/>
      <c r="I5" s="88"/>
      <c r="J5" s="88"/>
      <c r="K5" s="88"/>
      <c r="L5" s="88"/>
      <c r="M5" s="88"/>
      <c r="N5" s="88"/>
    </row>
    <row r="6" spans="1:27" ht="15.75" customHeight="1" x14ac:dyDescent="0.25"/>
    <row r="7" spans="1:27" ht="24" customHeight="1" x14ac:dyDescent="0.25"/>
    <row r="8" spans="1:27" ht="15.75" customHeight="1" x14ac:dyDescent="0.25"/>
    <row r="9" spans="1:27" ht="15.75" customHeight="1" x14ac:dyDescent="0.25">
      <c r="A9" s="89" t="s">
        <v>171</v>
      </c>
      <c r="B9" s="90" t="s">
        <v>48</v>
      </c>
      <c r="C9" s="296"/>
      <c r="D9" s="296"/>
      <c r="E9" s="296"/>
      <c r="F9" s="296"/>
      <c r="G9" s="296"/>
      <c r="H9" s="296"/>
      <c r="I9" s="296"/>
      <c r="J9" s="296"/>
      <c r="K9" s="296"/>
      <c r="L9" s="296"/>
      <c r="M9" s="296"/>
      <c r="N9" s="296"/>
      <c r="O9" s="296"/>
      <c r="P9" s="296"/>
      <c r="Q9" s="296"/>
      <c r="R9" s="296"/>
      <c r="S9" s="296"/>
      <c r="T9" s="296"/>
      <c r="U9" s="296"/>
      <c r="V9" s="296"/>
      <c r="W9" s="296"/>
      <c r="X9" s="296"/>
      <c r="Y9" s="296"/>
    </row>
    <row r="10" spans="1:27" ht="15.75" customHeight="1" x14ac:dyDescent="0.25">
      <c r="AA10" s="91" t="b">
        <v>0</v>
      </c>
    </row>
    <row r="11" spans="1:27" ht="15.75" customHeight="1" x14ac:dyDescent="0.25">
      <c r="AA11" s="91" t="b">
        <v>0</v>
      </c>
    </row>
    <row r="12" spans="1:27" ht="15.75" customHeight="1" x14ac:dyDescent="0.25">
      <c r="AA12" s="91" t="b">
        <v>0</v>
      </c>
    </row>
    <row r="13" spans="1:27" ht="15.75" customHeight="1" x14ac:dyDescent="0.25">
      <c r="A13" s="295"/>
      <c r="B13" s="503"/>
      <c r="C13" s="295"/>
      <c r="D13" s="295"/>
      <c r="E13" s="295"/>
      <c r="F13" s="295"/>
      <c r="G13" s="295"/>
      <c r="H13" s="295"/>
      <c r="I13" s="295"/>
      <c r="J13" s="295"/>
      <c r="K13" s="295"/>
      <c r="L13" s="295"/>
      <c r="AA13" s="91" t="b">
        <v>0</v>
      </c>
    </row>
    <row r="14" spans="1:27" ht="15.75" customHeight="1" x14ac:dyDescent="0.25">
      <c r="AA14" s="91" t="b">
        <v>0</v>
      </c>
    </row>
    <row r="15" spans="1:27" ht="15.75" customHeight="1" x14ac:dyDescent="0.25">
      <c r="AA15" s="91"/>
    </row>
    <row r="16" spans="1:27" ht="15.75" customHeight="1" x14ac:dyDescent="0.25">
      <c r="A16" s="89" t="s">
        <v>162</v>
      </c>
      <c r="B16" s="90" t="s">
        <v>45</v>
      </c>
    </row>
    <row r="17" spans="1:6" ht="15.75" customHeight="1" x14ac:dyDescent="0.25">
      <c r="A17" s="89" t="s">
        <v>46</v>
      </c>
      <c r="B17" s="90" t="s">
        <v>658</v>
      </c>
    </row>
    <row r="18" spans="1:6" ht="29.25" customHeight="1" x14ac:dyDescent="0.25">
      <c r="B18" s="411" t="s">
        <v>598</v>
      </c>
      <c r="C18" s="416" t="s">
        <v>655</v>
      </c>
    </row>
    <row r="19" spans="1:6" ht="15.75" customHeight="1" x14ac:dyDescent="0.25">
      <c r="B19" s="188" t="s">
        <v>608</v>
      </c>
      <c r="C19" s="463">
        <f>IF((Summary!$P$25+Summary!$P$23+Summary!$P$24+Summary!$P$28+Summary!$P$29)=0,0,Summary!P25/(Summary!$P$25+Summary!$P$23+Summary!$P$24+Summary!$P$28+Summary!$P$29))</f>
        <v>0</v>
      </c>
      <c r="F19" s="498"/>
    </row>
    <row r="20" spans="1:6" ht="15.75" customHeight="1" x14ac:dyDescent="0.25">
      <c r="B20" s="228" t="s">
        <v>180</v>
      </c>
      <c r="C20" s="464">
        <f>IF((Summary!$P$25+Summary!$P$23+Summary!$P$24+Summary!$P$28+Summary!$P$29)=0,0,Summary!P23/(Summary!$P$25+Summary!$P$23+Summary!$P$24+Summary!$P$28+Summary!$P$29))</f>
        <v>0</v>
      </c>
    </row>
    <row r="21" spans="1:6" ht="15.75" customHeight="1" x14ac:dyDescent="0.25">
      <c r="B21" s="228" t="s">
        <v>595</v>
      </c>
      <c r="C21" s="464">
        <f>IF((Summary!$P$25+Summary!$P$23+Summary!$P$24+Summary!$P$28+Summary!$P$29)=0,0,(Summary!P28+Summary!P29)/(Summary!$P$25+Summary!$P$23+Summary!$P$24+Summary!$P$28+Summary!$P$29))</f>
        <v>0</v>
      </c>
    </row>
    <row r="22" spans="1:6" ht="15.75" customHeight="1" x14ac:dyDescent="0.25">
      <c r="B22" s="190" t="s">
        <v>181</v>
      </c>
      <c r="C22" s="464">
        <f>IF((Summary!$P$25+Summary!$P$23+Summary!$P$24+Summary!$P$28+Summary!$P$29)=0,0,Summary!P24/(Summary!$P$25+Summary!$P$23+Summary!$P$24+Summary!$P$28+Summary!$P$29))</f>
        <v>0</v>
      </c>
    </row>
    <row r="23" spans="1:6" ht="15.75" customHeight="1" x14ac:dyDescent="0.25">
      <c r="B23" s="189" t="s">
        <v>591</v>
      </c>
      <c r="C23" s="11">
        <v>1</v>
      </c>
    </row>
    <row r="24" spans="1:6" ht="15.75" customHeight="1" x14ac:dyDescent="0.25">
      <c r="B24" s="71" t="s">
        <v>656</v>
      </c>
      <c r="C24" s="417"/>
    </row>
    <row r="25" spans="1:6" ht="15.75" customHeight="1" x14ac:dyDescent="0.25">
      <c r="C25" s="417"/>
    </row>
    <row r="26" spans="1:6" ht="15.75" customHeight="1" x14ac:dyDescent="0.25">
      <c r="A26" s="89" t="s">
        <v>47</v>
      </c>
      <c r="B26" s="90" t="s">
        <v>657</v>
      </c>
    </row>
    <row r="27" spans="1:6" ht="28.5" customHeight="1" x14ac:dyDescent="0.25">
      <c r="B27" s="411" t="s">
        <v>598</v>
      </c>
      <c r="C27" s="416" t="s">
        <v>655</v>
      </c>
    </row>
    <row r="28" spans="1:6" ht="15.75" customHeight="1" x14ac:dyDescent="0.25">
      <c r="B28" s="187" t="s">
        <v>608</v>
      </c>
      <c r="C28" s="463">
        <f>IF((Summary!$P$25+Summary!$P$23+Summary!$P$24+Summary!$P$28+Summary!$P$29+Summary!$P$32)=0,0,Summary!P25/(Summary!$P$25+Summary!$P$23+Summary!$P$24+Summary!$P$28+Summary!$P$29+Summary!$P$32))</f>
        <v>0</v>
      </c>
    </row>
    <row r="29" spans="1:6" ht="15.75" customHeight="1" x14ac:dyDescent="0.25">
      <c r="B29" s="394" t="s">
        <v>180</v>
      </c>
      <c r="C29" s="464">
        <f>IF((Summary!$P$25+Summary!$P$23+Summary!$P$24+Summary!$P$28+Summary!$P$29+Summary!$P$32)=0,0,Summary!P23/(Summary!$P$25+Summary!$P$23+Summary!$P$24+Summary!$P$28+Summary!$P$29+Summary!$P$32))</f>
        <v>0</v>
      </c>
    </row>
    <row r="30" spans="1:6" ht="15.75" customHeight="1" x14ac:dyDescent="0.25">
      <c r="B30" s="394" t="s">
        <v>591</v>
      </c>
      <c r="C30" s="464">
        <f>IF((Summary!$P$25+Summary!$P$23+Summary!$P$24+Summary!$P$28+Summary!$P$29+Summary!$P$32)=0,0,Summary!P32/(Summary!$P$25+Summary!$P$23+Summary!$P$24+Summary!$P$28+Summary!$P$29+Summary!$P$32))</f>
        <v>0</v>
      </c>
    </row>
    <row r="31" spans="1:6" ht="15.75" customHeight="1" x14ac:dyDescent="0.25">
      <c r="B31" s="394" t="s">
        <v>595</v>
      </c>
      <c r="C31" s="464">
        <f>IF((Summary!$P$25+Summary!$P$23+Summary!$P$24+Summary!$P$28+Summary!$P$29+Summary!$P$32)=0,0,(Summary!P28+Summary!P29)/(Summary!$P$25+Summary!$P$23+Summary!$P$24+Summary!$P$28+Summary!$P$29+Summary!$P$32))</f>
        <v>0</v>
      </c>
    </row>
    <row r="32" spans="1:6" ht="15.75" customHeight="1" x14ac:dyDescent="0.25">
      <c r="B32" s="189" t="s">
        <v>181</v>
      </c>
      <c r="C32" s="465">
        <f>IF((Summary!$P$25+Summary!$P$23+Summary!$P$24+Summary!$P$28+Summary!$P$29+Summary!$P$32)=0,0,Summary!P24/(Summary!$P$25+Summary!$P$23+Summary!$P$24+Summary!$P$28+Summary!$P$29+Summary!$P$32))</f>
        <v>0</v>
      </c>
    </row>
    <row r="33" spans="1:27" ht="15.75" customHeight="1" x14ac:dyDescent="0.25"/>
    <row r="34" spans="1:27" ht="15.75" customHeight="1" x14ac:dyDescent="0.25"/>
    <row r="35" spans="1:27" ht="15.75" customHeight="1" x14ac:dyDescent="0.25">
      <c r="A35" s="89" t="s">
        <v>163</v>
      </c>
      <c r="B35" s="90" t="s">
        <v>44</v>
      </c>
    </row>
    <row r="36" spans="1:27" ht="15.75" customHeight="1" x14ac:dyDescent="0.25">
      <c r="A36" s="89" t="s">
        <v>49</v>
      </c>
      <c r="B36" s="90" t="s">
        <v>668</v>
      </c>
    </row>
    <row r="37" spans="1:27" ht="15.75" customHeight="1" x14ac:dyDescent="0.25">
      <c r="A37" s="89"/>
      <c r="B37" s="306" t="s">
        <v>0</v>
      </c>
    </row>
    <row r="38" spans="1:27" ht="26.25" customHeight="1" x14ac:dyDescent="0.25">
      <c r="A38" s="89"/>
      <c r="B38" s="675" t="str">
        <f>+B179</f>
        <v>City Plan definition (QPP definition)</v>
      </c>
      <c r="C38" s="676"/>
      <c r="D38" s="676"/>
      <c r="E38" s="677"/>
      <c r="F38" s="675" t="s">
        <v>587</v>
      </c>
      <c r="G38" s="677"/>
      <c r="H38" s="553" t="str">
        <f>+E281</f>
        <v>Water, sewer, transport, parks</v>
      </c>
      <c r="I38" s="554"/>
      <c r="J38" s="554"/>
      <c r="K38" s="555"/>
      <c r="L38" s="553" t="s">
        <v>591</v>
      </c>
      <c r="M38" s="554"/>
      <c r="N38" s="554"/>
      <c r="O38" s="554"/>
      <c r="P38" s="555"/>
    </row>
    <row r="39" spans="1:27" ht="42" customHeight="1" x14ac:dyDescent="0.25">
      <c r="A39" s="89"/>
      <c r="B39" s="678"/>
      <c r="C39" s="679"/>
      <c r="D39" s="679"/>
      <c r="E39" s="680"/>
      <c r="F39" s="678"/>
      <c r="G39" s="680"/>
      <c r="H39" s="347" t="s">
        <v>157</v>
      </c>
      <c r="I39" s="347" t="s">
        <v>156</v>
      </c>
      <c r="J39" s="347" t="s">
        <v>152</v>
      </c>
      <c r="K39" s="347" t="s">
        <v>600</v>
      </c>
      <c r="L39" s="347" t="s">
        <v>43</v>
      </c>
      <c r="M39" s="347" t="s">
        <v>157</v>
      </c>
      <c r="N39" s="347" t="s">
        <v>156</v>
      </c>
      <c r="O39" s="347" t="s">
        <v>152</v>
      </c>
      <c r="P39" s="347" t="s">
        <v>600</v>
      </c>
    </row>
    <row r="40" spans="1:27" ht="15.75" customHeight="1" x14ac:dyDescent="0.25">
      <c r="A40" s="89"/>
      <c r="C40" s="408"/>
      <c r="D40" s="408"/>
      <c r="E40" s="408"/>
      <c r="F40" s="446">
        <f>+INDEX($H$180:$H$255,$AA40)</f>
        <v>0</v>
      </c>
      <c r="G40" s="14"/>
      <c r="H40" s="410" t="str">
        <f>+IF(AA40=1,"",VLOOKUP($F40,$B$283:$I$295,4))</f>
        <v/>
      </c>
      <c r="I40" s="457"/>
      <c r="J40" s="414" t="str">
        <f>+IF(AA40=1,"",VLOOKUP($F40,$B$283:$I$295,6))</f>
        <v/>
      </c>
      <c r="K40" s="414" t="str">
        <f>+IF(OR(AA40=1,J40="TBA"),"",J40*I40)</f>
        <v/>
      </c>
      <c r="L40" s="413" t="str">
        <f>+IF(AA40=1,"",VLOOKUP($F40,$B$283:$I$295,7))</f>
        <v/>
      </c>
      <c r="M40" s="412" t="str">
        <f>IF(AA40=1,"","Imp. Area (m2)")</f>
        <v/>
      </c>
      <c r="N40" s="457"/>
      <c r="O40" s="414" t="str">
        <f>+IF(AA40=1,"",VLOOKUP($F40,$B$283:$J$295,9))</f>
        <v/>
      </c>
      <c r="P40" s="414" t="str">
        <f>+IF(OR(AA40=1,O40="TBA"),"",O40*N40)</f>
        <v/>
      </c>
      <c r="W40" s="61" t="str">
        <f>+IF(F40=B171,"Transport charge only applies to High Impact Rural uses","")</f>
        <v/>
      </c>
      <c r="AA40" s="91">
        <v>1</v>
      </c>
    </row>
    <row r="41" spans="1:27" ht="15.75" customHeight="1" x14ac:dyDescent="0.25">
      <c r="A41" s="89"/>
      <c r="C41" s="408"/>
      <c r="D41" s="408"/>
      <c r="E41" s="408"/>
      <c r="F41" s="446">
        <f>+INDEX($H$180:$H$255,$AA41)</f>
        <v>0</v>
      </c>
      <c r="G41" s="14"/>
      <c r="H41" s="410" t="str">
        <f>+IF(AA41=1,"",VLOOKUP($F41,$B$283:$I$295,4))</f>
        <v/>
      </c>
      <c r="I41" s="457"/>
      <c r="J41" s="414" t="str">
        <f>+IF(AA41=1,"",VLOOKUP($F41,$B$283:$I$295,6))</f>
        <v/>
      </c>
      <c r="K41" s="414" t="str">
        <f>+IF(OR(AA41=1,J41="TBA"),"",J41*I41)</f>
        <v/>
      </c>
      <c r="L41" s="413" t="str">
        <f>+IF(AA41=1,"",VLOOKUP($F41,$B$283:$I$295,7))</f>
        <v/>
      </c>
      <c r="M41" s="412" t="str">
        <f>IF(AA41=1,"","Imp. Area (m2)")</f>
        <v/>
      </c>
      <c r="N41" s="457"/>
      <c r="O41" s="414" t="str">
        <f>+IF(AA41=1,"",VLOOKUP($F41,$B$283:$J$295,9))</f>
        <v/>
      </c>
      <c r="P41" s="414" t="str">
        <f>+IF(OR(AA41=1,O41="TBA"),"",O41*N41)</f>
        <v/>
      </c>
      <c r="AA41" s="91">
        <v>1</v>
      </c>
    </row>
    <row r="42" spans="1:27" ht="15.75" customHeight="1" x14ac:dyDescent="0.25">
      <c r="A42" s="89"/>
      <c r="C42" s="408"/>
      <c r="D42" s="408"/>
      <c r="E42" s="408"/>
      <c r="F42" s="446">
        <f>+INDEX($H$180:$H$255,$AA42)</f>
        <v>0</v>
      </c>
      <c r="G42" s="14"/>
      <c r="H42" s="410" t="str">
        <f>+IF(AA42=1,"",VLOOKUP($F42,$B$283:$I$295,4))</f>
        <v/>
      </c>
      <c r="I42" s="457"/>
      <c r="J42" s="414" t="str">
        <f>+IF(AA42=1,"",VLOOKUP($F42,$B$283:$I$295,6))</f>
        <v/>
      </c>
      <c r="K42" s="414" t="str">
        <f>+IF(OR(AA42=1,J42="TBA"),"",J42*I42)</f>
        <v/>
      </c>
      <c r="L42" s="413" t="str">
        <f>+IF(AA42=1,"",VLOOKUP($F42,$B$283:$I$295,7))</f>
        <v/>
      </c>
      <c r="M42" s="412" t="str">
        <f>IF(AA42=1,"","Imp. Area (m2)")</f>
        <v/>
      </c>
      <c r="N42" s="457"/>
      <c r="O42" s="414" t="str">
        <f>+IF(AA42=1,"",VLOOKUP($F42,$B$283:$J$295,9))</f>
        <v/>
      </c>
      <c r="P42" s="414" t="str">
        <f>+IF(OR(AA42=1,O42="TBA"),"",O42*N42)</f>
        <v/>
      </c>
      <c r="AA42" s="91">
        <v>1</v>
      </c>
    </row>
    <row r="43" spans="1:27" ht="15.75" customHeight="1" x14ac:dyDescent="0.25">
      <c r="A43" s="89"/>
      <c r="C43" s="408"/>
      <c r="D43" s="408"/>
      <c r="E43" s="408"/>
      <c r="F43" s="446">
        <f>+INDEX($H$180:$H$255,$AA43)</f>
        <v>0</v>
      </c>
      <c r="G43" s="14"/>
      <c r="H43" s="410" t="str">
        <f>+IF(AA43=1,"",VLOOKUP($F43,$B$283:$I$295,4))</f>
        <v/>
      </c>
      <c r="I43" s="457"/>
      <c r="J43" s="414" t="str">
        <f>+IF(AA43=1,"",VLOOKUP($F43,$B$283:$I$295,6))</f>
        <v/>
      </c>
      <c r="K43" s="414" t="str">
        <f>+IF(OR(AA43=1,J43="TBA"),"",J43*I43)</f>
        <v/>
      </c>
      <c r="L43" s="413" t="str">
        <f>+IF(AA43=1,"",VLOOKUP($F43,$B$283:$I$295,7))</f>
        <v/>
      </c>
      <c r="M43" s="412" t="str">
        <f>IF(AA43=1,"","Imp. Area (m2)")</f>
        <v/>
      </c>
      <c r="N43" s="457"/>
      <c r="O43" s="414" t="str">
        <f>+IF(AA43=1,"",VLOOKUP($F43,$B$283:$J$295,9))</f>
        <v/>
      </c>
      <c r="P43" s="414" t="str">
        <f>+IF(OR(AA43=1,O43="TBA"),"",O43*N43)</f>
        <v/>
      </c>
      <c r="AA43" s="91">
        <v>1</v>
      </c>
    </row>
    <row r="44" spans="1:27" ht="15.75" customHeight="1" x14ac:dyDescent="0.25">
      <c r="A44" s="89"/>
      <c r="C44" s="419"/>
      <c r="D44" s="419"/>
      <c r="E44" s="419"/>
      <c r="F44" s="446">
        <f>+INDEX($H$180:$H$255,$AA44)</f>
        <v>0</v>
      </c>
      <c r="G44" s="14"/>
      <c r="H44" s="410" t="str">
        <f>+IF(AA44=1,"",VLOOKUP($F44,$B$283:$I$295,4))</f>
        <v/>
      </c>
      <c r="I44" s="457"/>
      <c r="J44" s="414" t="str">
        <f>+IF(AA44=1,"",VLOOKUP($F44,$B$283:$I$295,6))</f>
        <v/>
      </c>
      <c r="K44" s="414" t="str">
        <f>+IF(OR(AA44=1,J44="TBA"),"",J44*I44)</f>
        <v/>
      </c>
      <c r="L44" s="413" t="str">
        <f>+IF(AA44=1,"",VLOOKUP($F44,$B$283:$I$295,7))</f>
        <v/>
      </c>
      <c r="M44" s="412" t="str">
        <f>IF(AA44=1,"","Imp. Area (m2)")</f>
        <v/>
      </c>
      <c r="N44" s="457"/>
      <c r="O44" s="414" t="str">
        <f>+IF(AA44=1,"",VLOOKUP($F44,$B$283:$J$295,9))</f>
        <v/>
      </c>
      <c r="P44" s="414" t="str">
        <f>+IF(OR(AA44=1,O44="TBA"),"",O44*N44)</f>
        <v/>
      </c>
      <c r="AA44" s="91">
        <v>1</v>
      </c>
    </row>
    <row r="45" spans="1:27" ht="15.75" customHeight="1" x14ac:dyDescent="0.25">
      <c r="A45" s="89"/>
      <c r="B45" s="58"/>
      <c r="C45" s="453"/>
      <c r="D45" s="453"/>
      <c r="E45" s="453"/>
      <c r="F45" s="455"/>
      <c r="G45" s="454"/>
      <c r="H45" s="456"/>
      <c r="I45" s="457"/>
      <c r="J45" s="458"/>
      <c r="K45" s="414">
        <f>+IF(AA45=1,"",J45*I45)</f>
        <v>0</v>
      </c>
      <c r="L45" s="456"/>
      <c r="M45" s="456"/>
      <c r="N45" s="457"/>
      <c r="O45" s="459"/>
      <c r="P45" s="414">
        <f>+IF(OR(AE45=1,O45="TBA"),"",O45*N45)</f>
        <v>0</v>
      </c>
    </row>
    <row r="46" spans="1:27" ht="15.75" customHeight="1" x14ac:dyDescent="0.25">
      <c r="A46" s="89"/>
      <c r="B46" s="71" t="s">
        <v>606</v>
      </c>
    </row>
    <row r="47" spans="1:27" ht="15.75" customHeight="1" x14ac:dyDescent="0.25">
      <c r="A47" s="89"/>
      <c r="B47" s="71"/>
    </row>
    <row r="48" spans="1:27" ht="15.75" customHeight="1" x14ac:dyDescent="0.25">
      <c r="A48" s="89"/>
    </row>
    <row r="49" spans="1:27" ht="15.75" customHeight="1" x14ac:dyDescent="0.25">
      <c r="A49" s="89" t="s">
        <v>50</v>
      </c>
      <c r="B49" s="90" t="s">
        <v>667</v>
      </c>
    </row>
    <row r="50" spans="1:27" ht="15.75" customHeight="1" x14ac:dyDescent="0.25">
      <c r="A50" s="89"/>
      <c r="B50" s="306" t="s">
        <v>0</v>
      </c>
    </row>
    <row r="51" spans="1:27" ht="25.5" customHeight="1" x14ac:dyDescent="0.25">
      <c r="B51" s="675" t="str">
        <f>+B38</f>
        <v>City Plan definition (QPP definition)</v>
      </c>
      <c r="C51" s="676"/>
      <c r="D51" s="676"/>
      <c r="E51" s="677"/>
      <c r="F51" s="675" t="s">
        <v>587</v>
      </c>
      <c r="G51" s="677"/>
      <c r="H51" s="553" t="s">
        <v>597</v>
      </c>
      <c r="I51" s="554"/>
      <c r="J51" s="554"/>
      <c r="K51" s="555"/>
    </row>
    <row r="52" spans="1:27" ht="29.25" customHeight="1" x14ac:dyDescent="0.25">
      <c r="A52" s="89"/>
      <c r="B52" s="678"/>
      <c r="C52" s="679"/>
      <c r="D52" s="679"/>
      <c r="E52" s="680"/>
      <c r="F52" s="678"/>
      <c r="G52" s="680"/>
      <c r="H52" s="347" t="s">
        <v>157</v>
      </c>
      <c r="I52" s="347" t="s">
        <v>156</v>
      </c>
      <c r="J52" s="347" t="s">
        <v>152</v>
      </c>
      <c r="K52" s="347" t="s">
        <v>600</v>
      </c>
    </row>
    <row r="53" spans="1:27" ht="15.75" customHeight="1" x14ac:dyDescent="0.25">
      <c r="A53" s="89"/>
      <c r="C53" s="408"/>
      <c r="D53" s="408"/>
      <c r="E53" s="408"/>
      <c r="F53" s="446">
        <f>+INDEX($H$261:$H$276,$AA53)</f>
        <v>0</v>
      </c>
      <c r="G53" s="14"/>
      <c r="H53" s="412" t="str">
        <f>+IF(AA53=1,"",VLOOKUP($F53,$B$304:$F$307,4))</f>
        <v/>
      </c>
      <c r="I53" s="50"/>
      <c r="J53" s="159" t="str">
        <f>+IF(AA53=1,"",VLOOKUP($F53,$B$304:$G$307,6))</f>
        <v/>
      </c>
      <c r="K53" s="414" t="str">
        <f>+IF(OR(AA53=1,J53="TBA"),"",J53*I53)</f>
        <v/>
      </c>
      <c r="AA53" s="91">
        <v>1</v>
      </c>
    </row>
    <row r="54" spans="1:27" ht="15.75" customHeight="1" x14ac:dyDescent="0.25">
      <c r="A54" s="89"/>
      <c r="C54" s="408"/>
      <c r="D54" s="408"/>
      <c r="E54" s="408"/>
      <c r="F54" s="446">
        <f>+INDEX($H$261:$H$276,$AA54)</f>
        <v>0</v>
      </c>
      <c r="G54" s="14"/>
      <c r="H54" s="412" t="str">
        <f>+IF(AA54=1,"",VLOOKUP($F54,$B$304:$F$307,4))</f>
        <v/>
      </c>
      <c r="I54" s="50"/>
      <c r="J54" s="159" t="str">
        <f>+IF(AA54=1,"",VLOOKUP($F54,$B$304:$G$307,6))</f>
        <v/>
      </c>
      <c r="K54" s="414" t="str">
        <f>+IF(OR(AA54=1,J54="TBA"),"",J54*I54)</f>
        <v/>
      </c>
      <c r="AA54" s="91">
        <v>1</v>
      </c>
    </row>
    <row r="55" spans="1:27" ht="15.75" customHeight="1" x14ac:dyDescent="0.25">
      <c r="A55" s="89"/>
      <c r="C55" s="408"/>
      <c r="D55" s="408"/>
      <c r="E55" s="408"/>
      <c r="F55" s="446">
        <f>+INDEX($H$261:$H$276,$AA55)</f>
        <v>0</v>
      </c>
      <c r="G55" s="14"/>
      <c r="H55" s="412" t="str">
        <f>+IF(AA55=1,"",VLOOKUP($F55,$B$304:$F$307,4))</f>
        <v/>
      </c>
      <c r="I55" s="50"/>
      <c r="J55" s="159" t="str">
        <f>+IF(AA55=1,"",VLOOKUP($F55,$B$304:$G$307,6))</f>
        <v/>
      </c>
      <c r="K55" s="414" t="str">
        <f>+IF(OR(AA55=1,J55="TBA"),"",J55*I55)</f>
        <v/>
      </c>
      <c r="AA55" s="91">
        <v>1</v>
      </c>
    </row>
    <row r="56" spans="1:27" ht="15.75" customHeight="1" x14ac:dyDescent="0.25">
      <c r="A56" s="89"/>
      <c r="C56" s="408"/>
      <c r="D56" s="408"/>
      <c r="E56" s="408"/>
      <c r="F56" s="446">
        <f>+INDEX($H$261:$H$276,$AA56)</f>
        <v>0</v>
      </c>
      <c r="G56" s="14"/>
      <c r="H56" s="412" t="str">
        <f>+IF(AA56=1,"",VLOOKUP($F56,$B$304:$F$307,4))</f>
        <v/>
      </c>
      <c r="I56" s="50"/>
      <c r="J56" s="159" t="str">
        <f>+IF(AA56=1,"",VLOOKUP($F56,$B$304:$G$307,6))</f>
        <v/>
      </c>
      <c r="K56" s="414" t="str">
        <f>+IF(OR(AA56=1,J56="TBA"),"",J56*I56)</f>
        <v/>
      </c>
      <c r="AA56" s="91">
        <v>1</v>
      </c>
    </row>
    <row r="57" spans="1:27" ht="15.75" customHeight="1" x14ac:dyDescent="0.25">
      <c r="C57" s="408"/>
      <c r="D57" s="408"/>
      <c r="E57" s="408"/>
      <c r="F57" s="446">
        <f>+INDEX($H$261:$H$276,$AA57)</f>
        <v>0</v>
      </c>
      <c r="G57" s="14"/>
      <c r="H57" s="412" t="str">
        <f>+IF(AA57=1,"",VLOOKUP($F57,$B$304:$F$307,4))</f>
        <v/>
      </c>
      <c r="I57" s="50"/>
      <c r="J57" s="159" t="str">
        <f>+IF(AA57=1,"",VLOOKUP($F57,$B$304:$G$307,6))</f>
        <v/>
      </c>
      <c r="K57" s="414" t="str">
        <f>+IF(OR(AA57=1,J57="TBA"),"",J57*I57)</f>
        <v/>
      </c>
      <c r="AA57" s="91">
        <v>1</v>
      </c>
    </row>
    <row r="58" spans="1:27" ht="15.75" customHeight="1" x14ac:dyDescent="0.25">
      <c r="B58" s="58"/>
      <c r="C58" s="453"/>
      <c r="D58" s="453"/>
      <c r="E58" s="453"/>
      <c r="F58" s="455"/>
      <c r="G58" s="179"/>
      <c r="H58" s="456"/>
      <c r="I58" s="50"/>
      <c r="J58" s="458"/>
      <c r="K58" s="414">
        <f>+IF(AA58=1,"",J58*I58)</f>
        <v>0</v>
      </c>
    </row>
    <row r="59" spans="1:27" ht="15.75" customHeight="1" x14ac:dyDescent="0.25">
      <c r="A59" s="89"/>
      <c r="B59" s="71" t="s">
        <v>606</v>
      </c>
    </row>
    <row r="60" spans="1:27" ht="15.75" customHeight="1" x14ac:dyDescent="0.25">
      <c r="A60" s="89"/>
      <c r="B60" s="71"/>
    </row>
    <row r="61" spans="1:27" ht="15.75" customHeight="1" x14ac:dyDescent="0.25">
      <c r="A61" s="89"/>
      <c r="B61" s="71"/>
      <c r="R61" s="105"/>
      <c r="S61" s="105"/>
      <c r="T61" s="105"/>
      <c r="U61" s="105"/>
      <c r="V61" s="105"/>
    </row>
    <row r="62" spans="1:27" ht="15.75" customHeight="1" x14ac:dyDescent="0.25">
      <c r="A62" s="89" t="s">
        <v>51</v>
      </c>
      <c r="B62" s="90" t="s">
        <v>65</v>
      </c>
    </row>
    <row r="63" spans="1:27" ht="15.75" customHeight="1" x14ac:dyDescent="0.25">
      <c r="A63" s="89"/>
      <c r="B63" s="225"/>
      <c r="C63" s="447"/>
      <c r="D63" s="447"/>
      <c r="E63" s="6"/>
      <c r="F63" s="347" t="s">
        <v>181</v>
      </c>
      <c r="G63" s="347" t="s">
        <v>180</v>
      </c>
      <c r="H63" s="347" t="s">
        <v>595</v>
      </c>
      <c r="I63" s="347" t="s">
        <v>608</v>
      </c>
      <c r="J63" s="347" t="s">
        <v>591</v>
      </c>
      <c r="K63" s="347" t="s">
        <v>236</v>
      </c>
    </row>
    <row r="64" spans="1:27" ht="15.75" customHeight="1" x14ac:dyDescent="0.25">
      <c r="A64" s="89"/>
      <c r="B64" s="450" t="s">
        <v>594</v>
      </c>
      <c r="C64" s="229"/>
      <c r="D64" s="229"/>
      <c r="E64" s="19"/>
      <c r="F64" s="16"/>
      <c r="G64" s="397"/>
      <c r="H64" s="397"/>
      <c r="I64" s="397"/>
      <c r="J64" s="397"/>
      <c r="K64" s="16"/>
    </row>
    <row r="65" spans="1:11" ht="15.75" customHeight="1" x14ac:dyDescent="0.25">
      <c r="A65" s="89"/>
      <c r="B65" s="228" t="str">
        <f>+IF(AA40=1,"",INDEX($B$180:$B$255,AA40))</f>
        <v/>
      </c>
      <c r="C65" s="229"/>
      <c r="D65" s="229"/>
      <c r="E65" s="19"/>
      <c r="F65" s="16" t="str">
        <f>+IF($K40="","",VLOOKUP(F$63,$B$19:$C$22,2)*$K40)</f>
        <v/>
      </c>
      <c r="G65" s="397" t="str">
        <f>+IF($K40="","",VLOOKUP(G$63,$B$19:$C$22,2)*$K40)</f>
        <v/>
      </c>
      <c r="H65" s="397" t="str">
        <f>+IF($K40="","",VLOOKUP(H$63,$B$19:$C$22,2)*$K40)</f>
        <v/>
      </c>
      <c r="I65" s="397" t="str">
        <f>+IF($K40="","",VLOOKUP(I$63,$B$19:$C$22,2)*$K40)</f>
        <v/>
      </c>
      <c r="J65" s="397" t="str">
        <f t="shared" ref="J65:J70" si="0">+IF(P40="","",P40)</f>
        <v/>
      </c>
      <c r="K65" s="16">
        <f t="shared" ref="K65:K70" si="1">SUM(F65:J65)</f>
        <v>0</v>
      </c>
    </row>
    <row r="66" spans="1:11" ht="15.75" customHeight="1" x14ac:dyDescent="0.25">
      <c r="A66" s="89"/>
      <c r="B66" s="228" t="str">
        <f>+IF(AA41=1,"",INDEX($B$180:$B$255,AA41))</f>
        <v/>
      </c>
      <c r="C66" s="229"/>
      <c r="D66" s="229"/>
      <c r="E66" s="19"/>
      <c r="F66" s="16" t="str">
        <f t="shared" ref="F66:I70" si="2">+IF($K41="","",VLOOKUP(F$63,$B$19:$C$22,2)*$K41)</f>
        <v/>
      </c>
      <c r="G66" s="397" t="str">
        <f t="shared" si="2"/>
        <v/>
      </c>
      <c r="H66" s="397" t="str">
        <f t="shared" si="2"/>
        <v/>
      </c>
      <c r="I66" s="397" t="str">
        <f t="shared" si="2"/>
        <v/>
      </c>
      <c r="J66" s="397" t="str">
        <f t="shared" si="0"/>
        <v/>
      </c>
      <c r="K66" s="16">
        <f t="shared" si="1"/>
        <v>0</v>
      </c>
    </row>
    <row r="67" spans="1:11" ht="15.75" customHeight="1" x14ac:dyDescent="0.25">
      <c r="A67" s="89"/>
      <c r="B67" s="228" t="str">
        <f>+IF(AA42=1,"",INDEX($B$180:$B$255,AA42))</f>
        <v/>
      </c>
      <c r="C67" s="229"/>
      <c r="D67" s="229"/>
      <c r="E67" s="19"/>
      <c r="F67" s="16" t="str">
        <f t="shared" si="2"/>
        <v/>
      </c>
      <c r="G67" s="397" t="str">
        <f t="shared" si="2"/>
        <v/>
      </c>
      <c r="H67" s="397" t="str">
        <f t="shared" si="2"/>
        <v/>
      </c>
      <c r="I67" s="397" t="str">
        <f t="shared" si="2"/>
        <v/>
      </c>
      <c r="J67" s="397" t="str">
        <f t="shared" si="0"/>
        <v/>
      </c>
      <c r="K67" s="16">
        <f t="shared" si="1"/>
        <v>0</v>
      </c>
    </row>
    <row r="68" spans="1:11" ht="15.75" customHeight="1" x14ac:dyDescent="0.25">
      <c r="A68" s="89"/>
      <c r="B68" s="228" t="str">
        <f>+IF(AA43=1,"",INDEX($B$180:$B$255,AA43))</f>
        <v/>
      </c>
      <c r="C68" s="229"/>
      <c r="D68" s="229"/>
      <c r="E68" s="19"/>
      <c r="F68" s="16" t="str">
        <f t="shared" si="2"/>
        <v/>
      </c>
      <c r="G68" s="397" t="str">
        <f t="shared" si="2"/>
        <v/>
      </c>
      <c r="H68" s="397" t="str">
        <f t="shared" si="2"/>
        <v/>
      </c>
      <c r="I68" s="397" t="str">
        <f t="shared" si="2"/>
        <v/>
      </c>
      <c r="J68" s="397" t="str">
        <f t="shared" si="0"/>
        <v/>
      </c>
      <c r="K68" s="16">
        <f t="shared" si="1"/>
        <v>0</v>
      </c>
    </row>
    <row r="69" spans="1:11" ht="15.75" customHeight="1" x14ac:dyDescent="0.25">
      <c r="A69" s="89"/>
      <c r="B69" s="228" t="str">
        <f>+IF(AA44=1,"",INDEX($B$180:$B$255,AA44))</f>
        <v/>
      </c>
      <c r="C69" s="229"/>
      <c r="D69" s="229"/>
      <c r="E69" s="19"/>
      <c r="F69" s="16" t="str">
        <f t="shared" si="2"/>
        <v/>
      </c>
      <c r="G69" s="397" t="str">
        <f t="shared" si="2"/>
        <v/>
      </c>
      <c r="H69" s="397" t="str">
        <f t="shared" si="2"/>
        <v/>
      </c>
      <c r="I69" s="397" t="str">
        <f t="shared" si="2"/>
        <v/>
      </c>
      <c r="J69" s="397" t="str">
        <f t="shared" si="0"/>
        <v/>
      </c>
      <c r="K69" s="16">
        <f t="shared" si="1"/>
        <v>0</v>
      </c>
    </row>
    <row r="70" spans="1:11" ht="15.75" customHeight="1" x14ac:dyDescent="0.25">
      <c r="A70" s="89"/>
      <c r="B70" s="190" t="str">
        <f>+IF(B45="","",B45)</f>
        <v/>
      </c>
      <c r="C70" s="230"/>
      <c r="D70" s="230"/>
      <c r="E70" s="20"/>
      <c r="F70" s="17">
        <f t="shared" si="2"/>
        <v>0</v>
      </c>
      <c r="G70" s="506">
        <f t="shared" si="2"/>
        <v>0</v>
      </c>
      <c r="H70" s="506">
        <f t="shared" si="2"/>
        <v>0</v>
      </c>
      <c r="I70" s="506">
        <f t="shared" si="2"/>
        <v>0</v>
      </c>
      <c r="J70" s="506">
        <f t="shared" si="0"/>
        <v>0</v>
      </c>
      <c r="K70" s="17">
        <f t="shared" si="1"/>
        <v>0</v>
      </c>
    </row>
    <row r="71" spans="1:11" ht="15.75" customHeight="1" x14ac:dyDescent="0.25">
      <c r="A71" s="89"/>
      <c r="B71" s="450" t="s">
        <v>58</v>
      </c>
      <c r="C71" s="229"/>
      <c r="D71" s="229"/>
      <c r="E71" s="19"/>
      <c r="F71" s="16"/>
      <c r="G71" s="397"/>
      <c r="H71" s="397"/>
      <c r="I71" s="397"/>
      <c r="J71" s="397"/>
      <c r="K71" s="16"/>
    </row>
    <row r="72" spans="1:11" ht="15.75" customHeight="1" x14ac:dyDescent="0.25">
      <c r="A72" s="89"/>
      <c r="B72" s="228" t="str">
        <f>+IF(AA53=1,"",INDEX($B$261:$B$276,AA53))</f>
        <v/>
      </c>
      <c r="C72" s="229"/>
      <c r="D72" s="229"/>
      <c r="E72" s="19"/>
      <c r="F72" s="16" t="str">
        <f t="shared" ref="F72:J77" si="3">+IF($K53="","",VLOOKUP(F$63,$B$28:$C$32,2)*$K53)</f>
        <v/>
      </c>
      <c r="G72" s="397" t="str">
        <f t="shared" si="3"/>
        <v/>
      </c>
      <c r="H72" s="397" t="str">
        <f>+IF($K53="","",VLOOKUP(H$63,$B$28:$C$32,2)*$K53)</f>
        <v/>
      </c>
      <c r="I72" s="397" t="str">
        <f t="shared" si="3"/>
        <v/>
      </c>
      <c r="J72" s="397" t="str">
        <f>+IF($K53="","",VLOOKUP(J$63,$B$28:$C$32,2)*$K53)</f>
        <v/>
      </c>
      <c r="K72" s="16">
        <f t="shared" ref="K72:K78" si="4">SUM(F72:J72)</f>
        <v>0</v>
      </c>
    </row>
    <row r="73" spans="1:11" ht="15.75" customHeight="1" x14ac:dyDescent="0.25">
      <c r="A73" s="89"/>
      <c r="B73" s="228" t="str">
        <f>+IF(AA54=1,"",INDEX($B$261:$B$276,AA54))</f>
        <v/>
      </c>
      <c r="C73" s="229"/>
      <c r="D73" s="229"/>
      <c r="E73" s="19"/>
      <c r="F73" s="16" t="str">
        <f t="shared" si="3"/>
        <v/>
      </c>
      <c r="G73" s="397" t="str">
        <f t="shared" si="3"/>
        <v/>
      </c>
      <c r="H73" s="397" t="str">
        <f t="shared" si="3"/>
        <v/>
      </c>
      <c r="I73" s="397" t="str">
        <f t="shared" si="3"/>
        <v/>
      </c>
      <c r="J73" s="397" t="str">
        <f t="shared" si="3"/>
        <v/>
      </c>
      <c r="K73" s="16">
        <f t="shared" si="4"/>
        <v>0</v>
      </c>
    </row>
    <row r="74" spans="1:11" ht="15.75" customHeight="1" x14ac:dyDescent="0.25">
      <c r="A74" s="89"/>
      <c r="B74" s="228" t="str">
        <f>+IF(AA55=1,"",INDEX($B$261:$B$276,AA55))</f>
        <v/>
      </c>
      <c r="C74" s="229"/>
      <c r="D74" s="229"/>
      <c r="E74" s="19"/>
      <c r="F74" s="16" t="str">
        <f t="shared" si="3"/>
        <v/>
      </c>
      <c r="G74" s="397" t="str">
        <f t="shared" si="3"/>
        <v/>
      </c>
      <c r="H74" s="397" t="str">
        <f t="shared" si="3"/>
        <v/>
      </c>
      <c r="I74" s="397" t="str">
        <f t="shared" si="3"/>
        <v/>
      </c>
      <c r="J74" s="397" t="str">
        <f t="shared" si="3"/>
        <v/>
      </c>
      <c r="K74" s="16">
        <f t="shared" si="4"/>
        <v>0</v>
      </c>
    </row>
    <row r="75" spans="1:11" ht="15.75" customHeight="1" x14ac:dyDescent="0.25">
      <c r="A75" s="89"/>
      <c r="B75" s="228" t="str">
        <f>+IF(AA56=1,"",INDEX($B$261:$B$276,AA56))</f>
        <v/>
      </c>
      <c r="C75" s="229"/>
      <c r="D75" s="229"/>
      <c r="E75" s="19"/>
      <c r="F75" s="16" t="str">
        <f t="shared" si="3"/>
        <v/>
      </c>
      <c r="G75" s="397" t="str">
        <f t="shared" si="3"/>
        <v/>
      </c>
      <c r="H75" s="397" t="str">
        <f t="shared" si="3"/>
        <v/>
      </c>
      <c r="I75" s="397" t="str">
        <f t="shared" si="3"/>
        <v/>
      </c>
      <c r="J75" s="397" t="str">
        <f t="shared" si="3"/>
        <v/>
      </c>
      <c r="K75" s="16">
        <f t="shared" si="4"/>
        <v>0</v>
      </c>
    </row>
    <row r="76" spans="1:11" ht="15.75" customHeight="1" x14ac:dyDescent="0.25">
      <c r="A76" s="89"/>
      <c r="B76" s="228" t="str">
        <f>+IF(AA57=1,"",INDEX($B$261:$B$276,AA57))</f>
        <v/>
      </c>
      <c r="C76" s="229"/>
      <c r="D76" s="229"/>
      <c r="E76" s="19"/>
      <c r="F76" s="16" t="str">
        <f t="shared" si="3"/>
        <v/>
      </c>
      <c r="G76" s="397" t="str">
        <f t="shared" si="3"/>
        <v/>
      </c>
      <c r="H76" s="397" t="str">
        <f t="shared" si="3"/>
        <v/>
      </c>
      <c r="I76" s="397" t="str">
        <f t="shared" si="3"/>
        <v/>
      </c>
      <c r="J76" s="397" t="str">
        <f t="shared" si="3"/>
        <v/>
      </c>
      <c r="K76" s="16">
        <f t="shared" si="4"/>
        <v>0</v>
      </c>
    </row>
    <row r="77" spans="1:11" ht="15.75" customHeight="1" x14ac:dyDescent="0.25">
      <c r="A77" s="89"/>
      <c r="B77" s="228" t="str">
        <f>+IF(B58="","",B58)</f>
        <v/>
      </c>
      <c r="C77" s="229"/>
      <c r="D77" s="229"/>
      <c r="E77" s="19"/>
      <c r="F77" s="16">
        <f t="shared" si="3"/>
        <v>0</v>
      </c>
      <c r="G77" s="397">
        <f t="shared" si="3"/>
        <v>0</v>
      </c>
      <c r="H77" s="397">
        <f t="shared" si="3"/>
        <v>0</v>
      </c>
      <c r="I77" s="397">
        <f t="shared" si="3"/>
        <v>0</v>
      </c>
      <c r="J77" s="397">
        <f t="shared" si="3"/>
        <v>0</v>
      </c>
      <c r="K77" s="16">
        <f t="shared" si="4"/>
        <v>0</v>
      </c>
    </row>
    <row r="78" spans="1:11" ht="15.75" customHeight="1" x14ac:dyDescent="0.25">
      <c r="A78" s="89"/>
      <c r="B78" s="12" t="s">
        <v>236</v>
      </c>
      <c r="C78" s="13"/>
      <c r="D78" s="13"/>
      <c r="E78" s="14"/>
      <c r="F78" s="9">
        <f>SUM(F64:F77)</f>
        <v>0</v>
      </c>
      <c r="G78" s="9">
        <f>SUM(G64:G77)</f>
        <v>0</v>
      </c>
      <c r="H78" s="9">
        <f>SUM(H64:H77)</f>
        <v>0</v>
      </c>
      <c r="I78" s="9">
        <f>SUM(I64:I77)</f>
        <v>0</v>
      </c>
      <c r="J78" s="9">
        <f>SUM(J64:J77)</f>
        <v>0</v>
      </c>
      <c r="K78" s="9">
        <f t="shared" si="4"/>
        <v>0</v>
      </c>
    </row>
    <row r="79" spans="1:11" ht="15.75" customHeight="1" x14ac:dyDescent="0.25">
      <c r="A79" s="89"/>
    </row>
    <row r="80" spans="1:11" ht="15.75" customHeight="1" x14ac:dyDescent="0.25">
      <c r="A80" s="89"/>
    </row>
    <row r="81" spans="1:27" ht="15.75" customHeight="1" x14ac:dyDescent="0.25">
      <c r="A81" s="89" t="s">
        <v>164</v>
      </c>
      <c r="B81" s="90" t="s">
        <v>52</v>
      </c>
    </row>
    <row r="82" spans="1:27" ht="15.75" customHeight="1" x14ac:dyDescent="0.25">
      <c r="A82" s="89" t="s">
        <v>53</v>
      </c>
      <c r="B82" s="90" t="s">
        <v>54</v>
      </c>
    </row>
    <row r="83" spans="1:27" ht="15.75" customHeight="1" x14ac:dyDescent="0.25">
      <c r="A83" s="89"/>
      <c r="B83" s="306" t="s">
        <v>0</v>
      </c>
    </row>
    <row r="84" spans="1:27" ht="26.25" customHeight="1" x14ac:dyDescent="0.25">
      <c r="A84" s="89"/>
      <c r="B84" s="675" t="str">
        <f>+B38</f>
        <v>City Plan definition (QPP definition)</v>
      </c>
      <c r="C84" s="676"/>
      <c r="D84" s="676"/>
      <c r="E84" s="677"/>
      <c r="F84" s="675" t="s">
        <v>587</v>
      </c>
      <c r="G84" s="677"/>
      <c r="H84" s="553" t="str">
        <f>+H38</f>
        <v>Water, sewer, transport, parks</v>
      </c>
      <c r="I84" s="554"/>
      <c r="J84" s="554"/>
      <c r="K84" s="555"/>
      <c r="L84" s="553" t="s">
        <v>591</v>
      </c>
      <c r="M84" s="554"/>
      <c r="N84" s="554"/>
      <c r="O84" s="554"/>
      <c r="P84" s="555"/>
    </row>
    <row r="85" spans="1:27" ht="42" customHeight="1" x14ac:dyDescent="0.25">
      <c r="A85" s="89"/>
      <c r="B85" s="678"/>
      <c r="C85" s="679"/>
      <c r="D85" s="679"/>
      <c r="E85" s="680"/>
      <c r="F85" s="678"/>
      <c r="G85" s="680"/>
      <c r="H85" s="347" t="s">
        <v>157</v>
      </c>
      <c r="I85" s="347" t="s">
        <v>156</v>
      </c>
      <c r="J85" s="347" t="s">
        <v>152</v>
      </c>
      <c r="K85" s="347" t="s">
        <v>600</v>
      </c>
      <c r="L85" s="347" t="s">
        <v>43</v>
      </c>
      <c r="M85" s="347" t="s">
        <v>157</v>
      </c>
      <c r="N85" s="347" t="s">
        <v>156</v>
      </c>
      <c r="O85" s="347" t="s">
        <v>152</v>
      </c>
      <c r="P85" s="347" t="s">
        <v>600</v>
      </c>
    </row>
    <row r="86" spans="1:27" ht="15.75" customHeight="1" x14ac:dyDescent="0.25">
      <c r="A86" s="89"/>
      <c r="C86" s="408"/>
      <c r="D86" s="408"/>
      <c r="E86" s="408"/>
      <c r="F86" s="446">
        <f>+INDEX($H$180:$H$255,$AA86)</f>
        <v>0</v>
      </c>
      <c r="G86" s="14"/>
      <c r="H86" s="410" t="str">
        <f>+IF(AA86=1,"",VLOOKUP($F86,$B$283:$I$295,4))</f>
        <v/>
      </c>
      <c r="I86" s="457"/>
      <c r="J86" s="414" t="str">
        <f>+IF(AA86=1,"",VLOOKUP($F86,$B$283:$I$295,6))</f>
        <v/>
      </c>
      <c r="K86" s="414" t="str">
        <f>+IF(OR(AA86=1,J86="TBA"),"",J86*I86)</f>
        <v/>
      </c>
      <c r="L86" s="413" t="str">
        <f>+IF(AA86=1,"",VLOOKUP($F86,$B$283:$I$295,7))</f>
        <v/>
      </c>
      <c r="M86" s="412" t="str">
        <f>IF(AA86=1,"","Imp. Area (m2)")</f>
        <v/>
      </c>
      <c r="N86" s="457"/>
      <c r="O86" s="414" t="str">
        <f>+IF(AA86=1,"",VLOOKUP($F86,$B$283:$J$295,9))</f>
        <v/>
      </c>
      <c r="P86" s="414" t="str">
        <f>+IF(OR(AA86=1,O86="TBA"),"",O86*N86)</f>
        <v/>
      </c>
      <c r="W86" s="61" t="str">
        <f>+IF(F86=B226,"Transport charge only applies to High Impact Rural uses","")</f>
        <v/>
      </c>
      <c r="AA86" s="91">
        <v>1</v>
      </c>
    </row>
    <row r="87" spans="1:27" ht="15.75" customHeight="1" x14ac:dyDescent="0.25">
      <c r="A87" s="89"/>
      <c r="C87" s="408"/>
      <c r="D87" s="408"/>
      <c r="E87" s="408"/>
      <c r="F87" s="446">
        <f>+INDEX($H$180:$H$255,$AA87)</f>
        <v>0</v>
      </c>
      <c r="G87" s="14"/>
      <c r="H87" s="410" t="str">
        <f>+IF(AA87=1,"",VLOOKUP($F87,$B$283:$I$295,4))</f>
        <v/>
      </c>
      <c r="I87" s="457"/>
      <c r="J87" s="414" t="str">
        <f>+IF(AA87=1,"",VLOOKUP($F87,$B$283:$I$295,6))</f>
        <v/>
      </c>
      <c r="K87" s="414" t="str">
        <f>+IF(OR(AA87=1,J87="TBA"),"",J87*I87)</f>
        <v/>
      </c>
      <c r="L87" s="413" t="str">
        <f>+IF(AA87=1,"",VLOOKUP($F87,$B$283:$I$295,7))</f>
        <v/>
      </c>
      <c r="M87" s="412" t="str">
        <f>IF(AA87=1,"","Imp. Area (m2)")</f>
        <v/>
      </c>
      <c r="N87" s="457"/>
      <c r="O87" s="414" t="str">
        <f>+IF(AA87=1,"",VLOOKUP($F87,$B$283:$J$295,9))</f>
        <v/>
      </c>
      <c r="P87" s="414" t="str">
        <f>+IF(OR(AA87=1,O87="TBA"),"",O87*N87)</f>
        <v/>
      </c>
      <c r="AA87" s="91">
        <v>1</v>
      </c>
    </row>
    <row r="88" spans="1:27" ht="15.75" customHeight="1" x14ac:dyDescent="0.25">
      <c r="A88" s="89"/>
      <c r="C88" s="408"/>
      <c r="D88" s="408"/>
      <c r="E88" s="408"/>
      <c r="F88" s="446">
        <f>+INDEX($H$180:$H$255,$AA88)</f>
        <v>0</v>
      </c>
      <c r="G88" s="14"/>
      <c r="H88" s="410" t="str">
        <f>+IF(AA88=1,"",VLOOKUP($F88,$B$283:$I$295,4))</f>
        <v/>
      </c>
      <c r="I88" s="457"/>
      <c r="J88" s="414" t="str">
        <f>+IF(AA88=1,"",VLOOKUP($F88,$B$283:$I$295,6))</f>
        <v/>
      </c>
      <c r="K88" s="414" t="str">
        <f>+IF(OR(AA88=1,J88="TBA"),"",J88*I88)</f>
        <v/>
      </c>
      <c r="L88" s="413" t="str">
        <f>+IF(AA88=1,"",VLOOKUP($F88,$B$283:$I$295,7))</f>
        <v/>
      </c>
      <c r="M88" s="412" t="str">
        <f>IF(AA88=1,"","Imp. Area (m2)")</f>
        <v/>
      </c>
      <c r="N88" s="457"/>
      <c r="O88" s="414" t="str">
        <f>+IF(AA88=1,"",VLOOKUP($F88,$B$283:$J$295,9))</f>
        <v/>
      </c>
      <c r="P88" s="414" t="str">
        <f>+IF(OR(AA88=1,O88="TBA"),"",O88*N88)</f>
        <v/>
      </c>
      <c r="AA88" s="91">
        <v>1</v>
      </c>
    </row>
    <row r="89" spans="1:27" ht="15.75" customHeight="1" x14ac:dyDescent="0.25">
      <c r="A89" s="89"/>
      <c r="C89" s="408"/>
      <c r="D89" s="408"/>
      <c r="E89" s="408"/>
      <c r="F89" s="446">
        <f>+INDEX($H$180:$H$255,$AA89)</f>
        <v>0</v>
      </c>
      <c r="G89" s="14"/>
      <c r="H89" s="410" t="str">
        <f>+IF(AA89=1,"",VLOOKUP($F89,$B$283:$I$295,4))</f>
        <v/>
      </c>
      <c r="I89" s="457"/>
      <c r="J89" s="414" t="str">
        <f>+IF(AA89=1,"",VLOOKUP($F89,$B$283:$I$295,6))</f>
        <v/>
      </c>
      <c r="K89" s="414" t="str">
        <f>+IF(OR(AA89=1,J89="TBA"),"",J89*I89)</f>
        <v/>
      </c>
      <c r="L89" s="413" t="str">
        <f>+IF(AA89=1,"",VLOOKUP($F89,$B$283:$I$295,7))</f>
        <v/>
      </c>
      <c r="M89" s="412" t="str">
        <f>IF(AA89=1,"","Imp. Area (m2)")</f>
        <v/>
      </c>
      <c r="N89" s="457"/>
      <c r="O89" s="414" t="str">
        <f>+IF(AA89=1,"",VLOOKUP($F89,$B$283:$J$295,9))</f>
        <v/>
      </c>
      <c r="P89" s="414" t="str">
        <f>+IF(OR(AA89=1,O89="TBA"),"",O89*N89)</f>
        <v/>
      </c>
      <c r="AA89" s="91">
        <v>1</v>
      </c>
    </row>
    <row r="90" spans="1:27" ht="15.75" customHeight="1" x14ac:dyDescent="0.25">
      <c r="A90" s="89"/>
      <c r="C90" s="419"/>
      <c r="D90" s="419"/>
      <c r="E90" s="419"/>
      <c r="F90" s="446">
        <f>+INDEX($H$180:$H$255,$AA90)</f>
        <v>0</v>
      </c>
      <c r="G90" s="14"/>
      <c r="H90" s="410" t="str">
        <f>+IF(AA90=1,"",VLOOKUP($F90,$B$283:$I$295,4))</f>
        <v/>
      </c>
      <c r="I90" s="457"/>
      <c r="J90" s="414" t="str">
        <f>+IF(AA90=1,"",VLOOKUP($F90,$B$283:$I$295,6))</f>
        <v/>
      </c>
      <c r="K90" s="414" t="str">
        <f>+IF(OR(AA90=1,J90="TBA"),"",J90*I90)</f>
        <v/>
      </c>
      <c r="L90" s="413" t="str">
        <f>+IF(AA90=1,"",VLOOKUP($F90,$B$283:$I$295,7))</f>
        <v/>
      </c>
      <c r="M90" s="412" t="str">
        <f>IF(AA90=1,"","Imp. Area (m2)")</f>
        <v/>
      </c>
      <c r="N90" s="457"/>
      <c r="O90" s="414" t="str">
        <f>+IF(AA90=1,"",VLOOKUP($F90,$B$283:$J$295,9))</f>
        <v/>
      </c>
      <c r="P90" s="414" t="str">
        <f>+IF(OR(AA90=1,O90="TBA"),"",O90*N90)</f>
        <v/>
      </c>
      <c r="AA90" s="91">
        <v>1</v>
      </c>
    </row>
    <row r="91" spans="1:27" ht="15.75" customHeight="1" x14ac:dyDescent="0.25">
      <c r="A91" s="89"/>
      <c r="B91" s="58"/>
      <c r="C91" s="453"/>
      <c r="D91" s="453"/>
      <c r="E91" s="453"/>
      <c r="F91" s="455"/>
      <c r="G91" s="179"/>
      <c r="H91" s="456"/>
      <c r="I91" s="457"/>
      <c r="J91" s="458"/>
      <c r="K91" s="414">
        <f>+IF(AA91=1,"",J91*I91)</f>
        <v>0</v>
      </c>
      <c r="L91" s="456"/>
      <c r="M91" s="456"/>
      <c r="N91" s="457"/>
      <c r="O91" s="459"/>
      <c r="P91" s="414">
        <f>+IF(OR(AE91=1,O91="TBA"),"",O91*N91)</f>
        <v>0</v>
      </c>
    </row>
    <row r="92" spans="1:27" ht="15.75" customHeight="1" x14ac:dyDescent="0.25">
      <c r="A92" s="89"/>
      <c r="B92" s="71" t="s">
        <v>606</v>
      </c>
    </row>
    <row r="93" spans="1:27" ht="15.75" customHeight="1" x14ac:dyDescent="0.25">
      <c r="A93" s="89"/>
      <c r="B93" s="71"/>
    </row>
    <row r="94" spans="1:27" ht="15.75" customHeight="1" x14ac:dyDescent="0.25">
      <c r="A94" s="89"/>
    </row>
    <row r="95" spans="1:27" ht="15.75" customHeight="1" x14ac:dyDescent="0.25">
      <c r="A95" s="89" t="s">
        <v>55</v>
      </c>
      <c r="B95" s="90" t="s">
        <v>56</v>
      </c>
    </row>
    <row r="96" spans="1:27" ht="15.75" customHeight="1" x14ac:dyDescent="0.25">
      <c r="A96" s="89"/>
      <c r="B96" s="306" t="s">
        <v>0</v>
      </c>
    </row>
    <row r="97" spans="1:27" ht="25.5" customHeight="1" x14ac:dyDescent="0.25">
      <c r="B97" s="675" t="str">
        <f>+B84</f>
        <v>City Plan definition (QPP definition)</v>
      </c>
      <c r="C97" s="676"/>
      <c r="D97" s="676"/>
      <c r="E97" s="677"/>
      <c r="F97" s="675" t="s">
        <v>587</v>
      </c>
      <c r="G97" s="677"/>
      <c r="H97" s="553" t="s">
        <v>597</v>
      </c>
      <c r="I97" s="554"/>
      <c r="J97" s="554"/>
      <c r="K97" s="555"/>
    </row>
    <row r="98" spans="1:27" ht="29.25" customHeight="1" x14ac:dyDescent="0.25">
      <c r="A98" s="89"/>
      <c r="B98" s="678"/>
      <c r="C98" s="679"/>
      <c r="D98" s="679"/>
      <c r="E98" s="680"/>
      <c r="F98" s="678"/>
      <c r="G98" s="680"/>
      <c r="H98" s="347" t="s">
        <v>157</v>
      </c>
      <c r="I98" s="347" t="s">
        <v>156</v>
      </c>
      <c r="J98" s="347" t="s">
        <v>152</v>
      </c>
      <c r="K98" s="347" t="s">
        <v>600</v>
      </c>
    </row>
    <row r="99" spans="1:27" ht="15.75" customHeight="1" x14ac:dyDescent="0.25">
      <c r="A99" s="89"/>
      <c r="C99" s="408"/>
      <c r="D99" s="408"/>
      <c r="E99" s="408"/>
      <c r="F99" s="446">
        <f>+INDEX($H$261:$H$276,$AA99)</f>
        <v>0</v>
      </c>
      <c r="G99" s="14"/>
      <c r="H99" s="412" t="str">
        <f>+IF(AA99=1,"",VLOOKUP($F99,$B$304:$F$307,4))</f>
        <v/>
      </c>
      <c r="I99" s="50"/>
      <c r="J99" s="159" t="str">
        <f>+IF(AA99=1,"",VLOOKUP($F99,$B$304:$G$307,6))</f>
        <v/>
      </c>
      <c r="K99" s="414" t="str">
        <f>+IF(OR(AA99=1,J99="TBA"),"",J99*I99)</f>
        <v/>
      </c>
      <c r="AA99" s="91">
        <v>1</v>
      </c>
    </row>
    <row r="100" spans="1:27" ht="15.75" customHeight="1" x14ac:dyDescent="0.25">
      <c r="A100" s="89"/>
      <c r="C100" s="408"/>
      <c r="D100" s="408"/>
      <c r="E100" s="408"/>
      <c r="F100" s="446">
        <f>+INDEX($H$261:$H$276,$AA100)</f>
        <v>0</v>
      </c>
      <c r="G100" s="14"/>
      <c r="H100" s="412" t="str">
        <f>+IF(AA100=1,"",VLOOKUP($F100,$B$304:$F$307,4))</f>
        <v/>
      </c>
      <c r="I100" s="50"/>
      <c r="J100" s="159" t="str">
        <f>+IF(AA100=1,"",VLOOKUP($F100,$B$304:$G$307,6))</f>
        <v/>
      </c>
      <c r="K100" s="414" t="str">
        <f>+IF(OR(AA100=1,J100="TBA"),"",J100*I100)</f>
        <v/>
      </c>
      <c r="AA100" s="91">
        <v>1</v>
      </c>
    </row>
    <row r="101" spans="1:27" ht="15.75" customHeight="1" x14ac:dyDescent="0.25">
      <c r="A101" s="89"/>
      <c r="C101" s="408"/>
      <c r="D101" s="408"/>
      <c r="E101" s="408"/>
      <c r="F101" s="446">
        <f>+INDEX($H$261:$H$276,$AA101)</f>
        <v>0</v>
      </c>
      <c r="G101" s="14"/>
      <c r="H101" s="412" t="str">
        <f>+IF(AA101=1,"",VLOOKUP($F101,$B$304:$F$307,4))</f>
        <v/>
      </c>
      <c r="I101" s="50"/>
      <c r="J101" s="159" t="str">
        <f>+IF(AA101=1,"",VLOOKUP($F101,$B$304:$G$307,6))</f>
        <v/>
      </c>
      <c r="K101" s="414" t="str">
        <f>+IF(OR(AA101=1,J101="TBA"),"",J101*I101)</f>
        <v/>
      </c>
      <c r="AA101" s="91">
        <v>1</v>
      </c>
    </row>
    <row r="102" spans="1:27" ht="15.75" customHeight="1" x14ac:dyDescent="0.25">
      <c r="A102" s="89"/>
      <c r="C102" s="408"/>
      <c r="D102" s="408"/>
      <c r="E102" s="408"/>
      <c r="F102" s="446">
        <f>+INDEX($H$261:$H$276,$AA102)</f>
        <v>0</v>
      </c>
      <c r="G102" s="14"/>
      <c r="H102" s="412" t="str">
        <f>+IF(AA102=1,"",VLOOKUP($F102,$B$304:$F$307,4))</f>
        <v/>
      </c>
      <c r="I102" s="50"/>
      <c r="J102" s="159" t="str">
        <f>+IF(AA102=1,"",VLOOKUP($F102,$B$304:$G$307,6))</f>
        <v/>
      </c>
      <c r="K102" s="414" t="str">
        <f>+IF(OR(AA102=1,J102="TBA"),"",J102*I102)</f>
        <v/>
      </c>
      <c r="AA102" s="91">
        <v>1</v>
      </c>
    </row>
    <row r="103" spans="1:27" ht="15.75" customHeight="1" x14ac:dyDescent="0.25">
      <c r="B103" s="91"/>
      <c r="C103" s="469"/>
      <c r="D103" s="469"/>
      <c r="E103" s="469"/>
      <c r="F103" s="497">
        <f>+INDEX($H$261:$H$276,$AA103)</f>
        <v>0</v>
      </c>
      <c r="G103" s="470"/>
      <c r="H103" s="412" t="str">
        <f>+IF(AA103=1,"",VLOOKUP($F103,$B$304:$F$307,4))</f>
        <v/>
      </c>
      <c r="I103" s="50"/>
      <c r="J103" s="159" t="str">
        <f>+IF(AA103=1,"",VLOOKUP($F103,$B$304:$G$307,6))</f>
        <v/>
      </c>
      <c r="K103" s="414" t="str">
        <f>+IF(OR(AA103=1,J103="TBA"),"",J103*I103)</f>
        <v/>
      </c>
      <c r="AA103" s="91">
        <v>1</v>
      </c>
    </row>
    <row r="104" spans="1:27" ht="15.75" customHeight="1" x14ac:dyDescent="0.25">
      <c r="B104" s="58"/>
      <c r="C104" s="453"/>
      <c r="D104" s="453"/>
      <c r="E104" s="453"/>
      <c r="F104" s="455"/>
      <c r="G104" s="179"/>
      <c r="H104" s="456"/>
      <c r="I104" s="50"/>
      <c r="J104" s="458"/>
      <c r="K104" s="414" t="str">
        <f>+IF(AA104=1,"",J104*I104)</f>
        <v/>
      </c>
      <c r="AA104" s="91">
        <v>1</v>
      </c>
    </row>
    <row r="105" spans="1:27" ht="15.75" customHeight="1" x14ac:dyDescent="0.25">
      <c r="A105" s="89"/>
      <c r="B105" s="71" t="s">
        <v>606</v>
      </c>
    </row>
    <row r="106" spans="1:27" ht="15.75" customHeight="1" x14ac:dyDescent="0.25">
      <c r="A106" s="89"/>
      <c r="B106" s="71"/>
      <c r="R106" s="105"/>
      <c r="S106" s="105"/>
      <c r="T106" s="105"/>
      <c r="U106" s="105"/>
      <c r="V106" s="105"/>
    </row>
    <row r="107" spans="1:27" ht="15.75" customHeight="1" x14ac:dyDescent="0.25">
      <c r="A107" s="89"/>
    </row>
    <row r="108" spans="1:27" ht="15.75" customHeight="1" x14ac:dyDescent="0.25">
      <c r="A108" s="89" t="s">
        <v>57</v>
      </c>
      <c r="B108" s="90" t="s">
        <v>64</v>
      </c>
    </row>
    <row r="109" spans="1:27" ht="15.75" customHeight="1" x14ac:dyDescent="0.25">
      <c r="A109" s="89"/>
      <c r="B109" s="225" t="s">
        <v>59</v>
      </c>
      <c r="C109" s="447"/>
      <c r="D109" s="447"/>
      <c r="E109" s="6"/>
      <c r="F109" s="347" t="s">
        <v>181</v>
      </c>
      <c r="G109" s="347" t="s">
        <v>180</v>
      </c>
      <c r="H109" s="347" t="s">
        <v>595</v>
      </c>
      <c r="I109" s="347" t="s">
        <v>608</v>
      </c>
      <c r="J109" s="347" t="s">
        <v>591</v>
      </c>
      <c r="K109" s="347" t="s">
        <v>236</v>
      </c>
    </row>
    <row r="110" spans="1:27" ht="15.75" customHeight="1" x14ac:dyDescent="0.25">
      <c r="A110" s="89"/>
      <c r="B110" s="450" t="s">
        <v>594</v>
      </c>
      <c r="C110" s="229"/>
      <c r="D110" s="229"/>
      <c r="E110" s="19"/>
      <c r="F110" s="16"/>
      <c r="G110" s="397"/>
      <c r="H110" s="397"/>
      <c r="I110" s="397"/>
      <c r="J110" s="16"/>
      <c r="K110" s="16"/>
    </row>
    <row r="111" spans="1:27" ht="15.75" customHeight="1" x14ac:dyDescent="0.25">
      <c r="A111" s="89"/>
      <c r="B111" s="228" t="str">
        <f>+IF(AA86=1,"",INDEX($B$180:$B$255,AA86))</f>
        <v/>
      </c>
      <c r="C111" s="229"/>
      <c r="D111" s="229"/>
      <c r="E111" s="19"/>
      <c r="F111" s="16" t="str">
        <f t="shared" ref="F111:I114" si="5">+IF($K86="","",VLOOKUP(F$63,$B$19:$C$22,2)*$K86)</f>
        <v/>
      </c>
      <c r="G111" s="397" t="str">
        <f t="shared" si="5"/>
        <v/>
      </c>
      <c r="H111" s="397" t="str">
        <f t="shared" si="5"/>
        <v/>
      </c>
      <c r="I111" s="397" t="str">
        <f t="shared" si="5"/>
        <v/>
      </c>
      <c r="J111" s="16" t="str">
        <f t="shared" ref="J111:J116" si="6">+P86</f>
        <v/>
      </c>
      <c r="K111" s="16">
        <f>SUM(F111:J111)</f>
        <v>0</v>
      </c>
    </row>
    <row r="112" spans="1:27" ht="15.75" customHeight="1" x14ac:dyDescent="0.25">
      <c r="A112" s="89"/>
      <c r="B112" s="228" t="str">
        <f>+IF(AA87=1,"",INDEX($B$180:$B$255,AA87))</f>
        <v/>
      </c>
      <c r="C112" s="229"/>
      <c r="D112" s="229"/>
      <c r="E112" s="19"/>
      <c r="F112" s="16" t="str">
        <f t="shared" si="5"/>
        <v/>
      </c>
      <c r="G112" s="397" t="str">
        <f t="shared" si="5"/>
        <v/>
      </c>
      <c r="H112" s="397" t="str">
        <f t="shared" si="5"/>
        <v/>
      </c>
      <c r="I112" s="397" t="str">
        <f t="shared" si="5"/>
        <v/>
      </c>
      <c r="J112" s="16" t="str">
        <f t="shared" si="6"/>
        <v/>
      </c>
      <c r="K112" s="16">
        <f t="shared" ref="K112:K122" si="7">SUM(F112:J112)</f>
        <v>0</v>
      </c>
    </row>
    <row r="113" spans="1:11" ht="15.75" customHeight="1" x14ac:dyDescent="0.25">
      <c r="A113" s="89"/>
      <c r="B113" s="228" t="str">
        <f>+IF(AA88=1,"",INDEX($B$180:$B$255,AA88))</f>
        <v/>
      </c>
      <c r="C113" s="229"/>
      <c r="D113" s="229"/>
      <c r="E113" s="19"/>
      <c r="F113" s="16" t="str">
        <f t="shared" si="5"/>
        <v/>
      </c>
      <c r="G113" s="397" t="str">
        <f t="shared" si="5"/>
        <v/>
      </c>
      <c r="H113" s="397" t="str">
        <f t="shared" si="5"/>
        <v/>
      </c>
      <c r="I113" s="397" t="str">
        <f t="shared" si="5"/>
        <v/>
      </c>
      <c r="J113" s="16" t="str">
        <f t="shared" si="6"/>
        <v/>
      </c>
      <c r="K113" s="16">
        <f t="shared" si="7"/>
        <v>0</v>
      </c>
    </row>
    <row r="114" spans="1:11" ht="15.75" customHeight="1" x14ac:dyDescent="0.25">
      <c r="A114" s="89"/>
      <c r="B114" s="228" t="str">
        <f>+IF(AA89=1,"",INDEX($B$180:$B$255,AA89))</f>
        <v/>
      </c>
      <c r="C114" s="229"/>
      <c r="D114" s="229"/>
      <c r="E114" s="19"/>
      <c r="F114" s="16" t="str">
        <f t="shared" si="5"/>
        <v/>
      </c>
      <c r="G114" s="397" t="str">
        <f t="shared" si="5"/>
        <v/>
      </c>
      <c r="H114" s="397" t="str">
        <f t="shared" si="5"/>
        <v/>
      </c>
      <c r="I114" s="397" t="str">
        <f t="shared" si="5"/>
        <v/>
      </c>
      <c r="J114" s="16" t="str">
        <f t="shared" si="6"/>
        <v/>
      </c>
      <c r="K114" s="16">
        <f t="shared" si="7"/>
        <v>0</v>
      </c>
    </row>
    <row r="115" spans="1:11" ht="15.75" customHeight="1" x14ac:dyDescent="0.25">
      <c r="A115" s="89"/>
      <c r="B115" s="228" t="str">
        <f>+IF(AA90=1,"",INDEX($B$180:$B$255,AA90))</f>
        <v/>
      </c>
      <c r="C115" s="229"/>
      <c r="D115" s="229"/>
      <c r="E115" s="19"/>
      <c r="F115" s="16" t="str">
        <f t="shared" ref="F115:I116" si="8">+IF($K90="","",VLOOKUP(F$63,$B$19:$C$22,2)*$K90)</f>
        <v/>
      </c>
      <c r="G115" s="397" t="str">
        <f t="shared" si="8"/>
        <v/>
      </c>
      <c r="H115" s="397" t="str">
        <f t="shared" si="8"/>
        <v/>
      </c>
      <c r="I115" s="397" t="str">
        <f t="shared" si="8"/>
        <v/>
      </c>
      <c r="J115" s="16" t="str">
        <f t="shared" si="6"/>
        <v/>
      </c>
      <c r="K115" s="16">
        <f t="shared" si="7"/>
        <v>0</v>
      </c>
    </row>
    <row r="116" spans="1:11" ht="15.75" customHeight="1" x14ac:dyDescent="0.25">
      <c r="A116" s="89"/>
      <c r="B116" s="190" t="str">
        <f>+IF(B91="","",B91)</f>
        <v/>
      </c>
      <c r="C116" s="230"/>
      <c r="D116" s="230"/>
      <c r="E116" s="20"/>
      <c r="F116" s="17">
        <f t="shared" si="8"/>
        <v>0</v>
      </c>
      <c r="G116" s="506">
        <f t="shared" si="8"/>
        <v>0</v>
      </c>
      <c r="H116" s="506">
        <f t="shared" si="8"/>
        <v>0</v>
      </c>
      <c r="I116" s="506">
        <f t="shared" si="8"/>
        <v>0</v>
      </c>
      <c r="J116" s="17">
        <f t="shared" si="6"/>
        <v>0</v>
      </c>
      <c r="K116" s="17">
        <f t="shared" si="7"/>
        <v>0</v>
      </c>
    </row>
    <row r="117" spans="1:11" ht="15.75" customHeight="1" x14ac:dyDescent="0.25">
      <c r="A117" s="89"/>
      <c r="B117" s="450" t="s">
        <v>58</v>
      </c>
      <c r="C117" s="229"/>
      <c r="D117" s="229"/>
      <c r="E117" s="19"/>
      <c r="F117" s="16"/>
      <c r="G117" s="397"/>
      <c r="H117" s="397"/>
      <c r="I117" s="397"/>
      <c r="J117" s="16"/>
      <c r="K117" s="16">
        <f t="shared" si="7"/>
        <v>0</v>
      </c>
    </row>
    <row r="118" spans="1:11" ht="15.75" customHeight="1" x14ac:dyDescent="0.25">
      <c r="A118" s="89"/>
      <c r="B118" s="228" t="str">
        <f>+IF(AA99=1,"",INDEX($B$261:$B$276,AA99))</f>
        <v/>
      </c>
      <c r="C118" s="229"/>
      <c r="D118" s="229"/>
      <c r="E118" s="19"/>
      <c r="F118" s="16" t="str">
        <f t="shared" ref="F118:J123" si="9">+IF($K99="","",VLOOKUP(F109,$B$28:$C$32,2)*$K99)</f>
        <v/>
      </c>
      <c r="G118" s="16" t="str">
        <f t="shared" si="9"/>
        <v/>
      </c>
      <c r="H118" s="16" t="str">
        <f t="shared" si="9"/>
        <v/>
      </c>
      <c r="I118" s="16" t="str">
        <f t="shared" si="9"/>
        <v/>
      </c>
      <c r="J118" s="16" t="str">
        <f>+IF($K99="","",VLOOKUP(J109,$B$28:$C$32,2)*$K99)</f>
        <v/>
      </c>
      <c r="K118" s="16">
        <f t="shared" si="7"/>
        <v>0</v>
      </c>
    </row>
    <row r="119" spans="1:11" ht="15.75" customHeight="1" x14ac:dyDescent="0.25">
      <c r="A119" s="89"/>
      <c r="B119" s="228" t="str">
        <f>+IF(AA100=1,"",INDEX($B$261:$B$276,AA100))</f>
        <v/>
      </c>
      <c r="C119" s="229"/>
      <c r="D119" s="229"/>
      <c r="E119" s="19"/>
      <c r="F119" s="16" t="str">
        <f t="shared" si="9"/>
        <v/>
      </c>
      <c r="G119" s="16" t="str">
        <f t="shared" si="9"/>
        <v/>
      </c>
      <c r="H119" s="16" t="str">
        <f t="shared" si="9"/>
        <v/>
      </c>
      <c r="I119" s="16" t="str">
        <f t="shared" si="9"/>
        <v/>
      </c>
      <c r="J119" s="16" t="str">
        <f t="shared" si="9"/>
        <v/>
      </c>
      <c r="K119" s="16">
        <f t="shared" si="7"/>
        <v>0</v>
      </c>
    </row>
    <row r="120" spans="1:11" ht="15.75" customHeight="1" x14ac:dyDescent="0.25">
      <c r="A120" s="89"/>
      <c r="B120" s="228" t="str">
        <f>+IF(AA101=1,"",INDEX($B$261:$B$276,AA101))</f>
        <v/>
      </c>
      <c r="C120" s="229"/>
      <c r="D120" s="229"/>
      <c r="E120" s="19"/>
      <c r="F120" s="16" t="str">
        <f t="shared" si="9"/>
        <v/>
      </c>
      <c r="G120" s="16" t="str">
        <f t="shared" si="9"/>
        <v/>
      </c>
      <c r="H120" s="16" t="str">
        <f t="shared" si="9"/>
        <v/>
      </c>
      <c r="I120" s="16" t="str">
        <f t="shared" si="9"/>
        <v/>
      </c>
      <c r="J120" s="16" t="str">
        <f t="shared" si="9"/>
        <v/>
      </c>
      <c r="K120" s="16">
        <f t="shared" si="7"/>
        <v>0</v>
      </c>
    </row>
    <row r="121" spans="1:11" ht="15.75" customHeight="1" x14ac:dyDescent="0.25">
      <c r="A121" s="89"/>
      <c r="B121" s="228" t="str">
        <f>+IF(AA102=1,"",INDEX($B$261:$B$276,AA102))</f>
        <v/>
      </c>
      <c r="C121" s="229"/>
      <c r="D121" s="229"/>
      <c r="E121" s="19"/>
      <c r="F121" s="16" t="str">
        <f t="shared" si="9"/>
        <v/>
      </c>
      <c r="G121" s="16" t="str">
        <f t="shared" si="9"/>
        <v/>
      </c>
      <c r="H121" s="16" t="str">
        <f t="shared" si="9"/>
        <v/>
      </c>
      <c r="I121" s="16" t="str">
        <f t="shared" si="9"/>
        <v/>
      </c>
      <c r="J121" s="16" t="str">
        <f t="shared" si="9"/>
        <v/>
      </c>
      <c r="K121" s="16">
        <f t="shared" si="7"/>
        <v>0</v>
      </c>
    </row>
    <row r="122" spans="1:11" ht="15.75" customHeight="1" x14ac:dyDescent="0.25">
      <c r="A122" s="89"/>
      <c r="B122" s="228" t="str">
        <f>+IF(AA103=1,"",INDEX($B$261:$B$276,AA103))</f>
        <v/>
      </c>
      <c r="C122" s="229"/>
      <c r="D122" s="229"/>
      <c r="E122" s="19"/>
      <c r="F122" s="16" t="str">
        <f t="shared" si="9"/>
        <v/>
      </c>
      <c r="G122" s="16" t="str">
        <f t="shared" si="9"/>
        <v/>
      </c>
      <c r="H122" s="16" t="str">
        <f t="shared" si="9"/>
        <v/>
      </c>
      <c r="I122" s="16" t="str">
        <f t="shared" si="9"/>
        <v/>
      </c>
      <c r="J122" s="16" t="str">
        <f t="shared" si="9"/>
        <v/>
      </c>
      <c r="K122" s="16">
        <f t="shared" si="7"/>
        <v>0</v>
      </c>
    </row>
    <row r="123" spans="1:11" ht="15.75" customHeight="1" x14ac:dyDescent="0.25">
      <c r="A123" s="89"/>
      <c r="B123" s="190" t="str">
        <f>+IF(B104="","",B104)</f>
        <v/>
      </c>
      <c r="C123" s="230"/>
      <c r="D123" s="230"/>
      <c r="E123" s="20"/>
      <c r="F123" s="16" t="str">
        <f t="shared" si="9"/>
        <v/>
      </c>
      <c r="G123" s="16" t="str">
        <f t="shared" si="9"/>
        <v/>
      </c>
      <c r="H123" s="16" t="str">
        <f t="shared" si="9"/>
        <v/>
      </c>
      <c r="I123" s="16" t="str">
        <f t="shared" si="9"/>
        <v/>
      </c>
      <c r="J123" s="16" t="str">
        <f t="shared" si="9"/>
        <v/>
      </c>
      <c r="K123" s="16" t="str">
        <f>+IF($K104="","",VLOOKUP(K114,$B$28:$C$32,2)*$K104)</f>
        <v/>
      </c>
    </row>
    <row r="124" spans="1:11" ht="15.75" customHeight="1" x14ac:dyDescent="0.25">
      <c r="A124" s="89"/>
      <c r="B124" s="12" t="s">
        <v>236</v>
      </c>
      <c r="C124" s="13"/>
      <c r="D124" s="13"/>
      <c r="E124" s="14"/>
      <c r="F124" s="9">
        <f t="shared" ref="F124:K124" si="10">SUM(F110:F123)</f>
        <v>0</v>
      </c>
      <c r="G124" s="9">
        <f t="shared" si="10"/>
        <v>0</v>
      </c>
      <c r="H124" s="9">
        <f t="shared" si="10"/>
        <v>0</v>
      </c>
      <c r="I124" s="9">
        <f t="shared" si="10"/>
        <v>0</v>
      </c>
      <c r="J124" s="9">
        <f t="shared" si="10"/>
        <v>0</v>
      </c>
      <c r="K124" s="9">
        <f t="shared" si="10"/>
        <v>0</v>
      </c>
    </row>
    <row r="125" spans="1:11" ht="15.75" customHeight="1" x14ac:dyDescent="0.25">
      <c r="A125" s="89"/>
    </row>
    <row r="126" spans="1:11" ht="15.75" customHeight="1" x14ac:dyDescent="0.25"/>
    <row r="127" spans="1:11" ht="15.75" customHeight="1" x14ac:dyDescent="0.25">
      <c r="A127" s="89" t="s">
        <v>165</v>
      </c>
      <c r="B127" s="90" t="s">
        <v>659</v>
      </c>
      <c r="I127" s="99"/>
    </row>
    <row r="128" spans="1:11" ht="15.75" customHeight="1" x14ac:dyDescent="0.25">
      <c r="A128" s="89"/>
      <c r="B128" s="104" t="s">
        <v>662</v>
      </c>
      <c r="I128" s="99"/>
    </row>
    <row r="129" spans="1:11" ht="15.75" customHeight="1" x14ac:dyDescent="0.25">
      <c r="A129" s="89"/>
      <c r="B129" s="65" t="s">
        <v>63</v>
      </c>
      <c r="C129" s="61" t="str">
        <f>+IF(AND(AA10=TRUE,AA11=TRUE,AA12=TRUE,AA13=TRUE,AA14=TRUE),"OK","Not all criteria have been met")</f>
        <v>Not all criteria have been met</v>
      </c>
      <c r="I129" s="99"/>
    </row>
    <row r="130" spans="1:11" ht="15.75" customHeight="1" x14ac:dyDescent="0.25">
      <c r="A130" s="89"/>
      <c r="I130" s="99"/>
    </row>
    <row r="131" spans="1:11" ht="38.25" customHeight="1" x14ac:dyDescent="0.25">
      <c r="A131" s="89"/>
      <c r="B131" s="460" t="s">
        <v>598</v>
      </c>
      <c r="C131" s="460" t="s">
        <v>660</v>
      </c>
      <c r="D131" s="460" t="s">
        <v>663</v>
      </c>
      <c r="E131" s="501" t="s">
        <v>661</v>
      </c>
      <c r="I131" s="99"/>
    </row>
    <row r="132" spans="1:11" ht="15.75" customHeight="1" x14ac:dyDescent="0.25">
      <c r="A132" s="89"/>
      <c r="B132" s="188" t="s">
        <v>181</v>
      </c>
      <c r="C132" s="461">
        <f>MAX(0,F$78-F$124)</f>
        <v>0</v>
      </c>
      <c r="D132" s="499">
        <f>+Summary!P24</f>
        <v>0</v>
      </c>
      <c r="E132" s="461">
        <f>+IF($C$129="OK",MAX(0,D132-C132),0)</f>
        <v>0</v>
      </c>
      <c r="I132" s="103"/>
      <c r="K132" s="107"/>
    </row>
    <row r="133" spans="1:11" ht="15.75" customHeight="1" x14ac:dyDescent="0.4">
      <c r="A133" s="89"/>
      <c r="B133" s="228" t="s">
        <v>180</v>
      </c>
      <c r="C133" s="462">
        <f>+MAX(0,G$78-G$124)</f>
        <v>0</v>
      </c>
      <c r="D133" s="500">
        <f>+Summary!P23</f>
        <v>0</v>
      </c>
      <c r="E133" s="462">
        <f>+IF($C$129="OK",MAX(0,D133-C133),0)</f>
        <v>0</v>
      </c>
      <c r="G133" s="106"/>
      <c r="H133" s="104"/>
      <c r="K133" s="107"/>
    </row>
    <row r="134" spans="1:11" ht="15.75" customHeight="1" x14ac:dyDescent="0.4">
      <c r="A134" s="89"/>
      <c r="B134" s="228" t="s">
        <v>595</v>
      </c>
      <c r="C134" s="462">
        <f>+MAX(0,H$78-H$124)</f>
        <v>0</v>
      </c>
      <c r="D134" s="500">
        <f>+Summary!P28+Summary!P29</f>
        <v>0</v>
      </c>
      <c r="E134" s="462">
        <f>+IF($C$129="OK",MAX(0,D134-C134),0)</f>
        <v>0</v>
      </c>
      <c r="G134" s="106"/>
      <c r="H134" s="104"/>
      <c r="K134" s="107"/>
    </row>
    <row r="135" spans="1:11" ht="15.75" customHeight="1" x14ac:dyDescent="0.4">
      <c r="A135" s="89"/>
      <c r="B135" s="228" t="s">
        <v>608</v>
      </c>
      <c r="C135" s="462">
        <f>+MAX(0,I$78-I$124)</f>
        <v>0</v>
      </c>
      <c r="D135" s="500">
        <f>+Summary!P25</f>
        <v>0</v>
      </c>
      <c r="E135" s="462">
        <f>+IF($C$129="OK",MAX(0,D135-C135),0)</f>
        <v>0</v>
      </c>
      <c r="G135" s="106"/>
      <c r="H135" s="104"/>
      <c r="K135" s="107"/>
    </row>
    <row r="136" spans="1:11" ht="15.75" customHeight="1" x14ac:dyDescent="0.4">
      <c r="A136" s="89"/>
      <c r="B136" s="228" t="s">
        <v>591</v>
      </c>
      <c r="C136" s="504">
        <f>+MAX(0,J$78-J$124)</f>
        <v>0</v>
      </c>
      <c r="D136" s="504">
        <f>+Summary!P32</f>
        <v>0</v>
      </c>
      <c r="E136" s="502">
        <f>+IF($C$129="OK",MAX(0,D136-C136),0)</f>
        <v>0</v>
      </c>
      <c r="G136" s="106"/>
      <c r="H136" s="104"/>
      <c r="K136" s="107"/>
    </row>
    <row r="137" spans="1:11" ht="15.75" customHeight="1" x14ac:dyDescent="0.25">
      <c r="A137" s="89"/>
      <c r="B137" s="190"/>
      <c r="C137" s="505"/>
      <c r="D137" s="505">
        <f>SUM(D132:D136)</f>
        <v>0</v>
      </c>
      <c r="E137" s="502">
        <f>SUM(E132:E136)</f>
        <v>0</v>
      </c>
      <c r="H137" s="104"/>
      <c r="K137" s="107"/>
    </row>
    <row r="138" spans="1:11" ht="15.75" customHeight="1" x14ac:dyDescent="0.4">
      <c r="A138" s="89"/>
      <c r="B138" s="61" t="str">
        <f>+"All values in $  "&amp;Summary!D14</f>
        <v>All values in $  45627</v>
      </c>
      <c r="C138" s="106"/>
      <c r="D138" s="106"/>
      <c r="E138" s="106"/>
      <c r="F138" s="106"/>
      <c r="G138" s="106"/>
      <c r="H138" s="104"/>
      <c r="K138" s="107"/>
    </row>
    <row r="139" spans="1:11" ht="15.75" customHeight="1" x14ac:dyDescent="0.4">
      <c r="A139" s="89"/>
      <c r="C139" s="106"/>
      <c r="D139" s="106"/>
      <c r="E139" s="106"/>
      <c r="F139" s="106"/>
      <c r="G139" s="106"/>
      <c r="H139" s="104"/>
      <c r="K139" s="107"/>
    </row>
    <row r="140" spans="1:11" ht="15.75" customHeight="1" x14ac:dyDescent="0.4">
      <c r="A140" s="89"/>
      <c r="C140" s="106"/>
      <c r="D140" s="106"/>
      <c r="E140" s="106"/>
      <c r="F140" s="106"/>
      <c r="G140" s="106"/>
      <c r="H140" s="104"/>
      <c r="K140" s="107"/>
    </row>
    <row r="141" spans="1:11" ht="15.75" customHeight="1" x14ac:dyDescent="0.4">
      <c r="A141" s="89"/>
      <c r="C141" s="106"/>
      <c r="D141" s="104"/>
      <c r="E141" s="104"/>
      <c r="F141" s="104"/>
      <c r="G141" s="106"/>
      <c r="H141" s="104"/>
      <c r="K141" s="107"/>
    </row>
    <row r="142" spans="1:11" ht="15.75" customHeight="1" x14ac:dyDescent="0.4">
      <c r="A142" s="89"/>
      <c r="C142" s="106"/>
      <c r="D142" s="104"/>
      <c r="E142" s="104"/>
      <c r="F142" s="104"/>
      <c r="G142" s="106"/>
      <c r="H142" s="104"/>
      <c r="K142" s="107"/>
    </row>
    <row r="143" spans="1:11" ht="15.75" customHeight="1" x14ac:dyDescent="0.4">
      <c r="A143" s="89"/>
      <c r="C143" s="106"/>
      <c r="D143" s="106"/>
      <c r="E143" s="106"/>
      <c r="F143" s="106"/>
      <c r="G143" s="106"/>
      <c r="H143" s="104"/>
      <c r="K143" s="107"/>
    </row>
    <row r="144" spans="1:11" ht="15.75" customHeight="1" x14ac:dyDescent="0.4">
      <c r="A144" s="89"/>
      <c r="C144" s="106"/>
      <c r="D144" s="106"/>
      <c r="E144" s="106"/>
      <c r="F144" s="106"/>
      <c r="G144" s="106"/>
      <c r="H144" s="104"/>
      <c r="K144" s="107"/>
    </row>
    <row r="145" spans="1:11" ht="15.75" customHeight="1" x14ac:dyDescent="0.4">
      <c r="A145" s="89"/>
      <c r="C145" s="106"/>
      <c r="D145" s="106"/>
      <c r="E145" s="106"/>
      <c r="F145" s="106"/>
      <c r="G145" s="106"/>
      <c r="H145" s="104"/>
      <c r="K145" s="107"/>
    </row>
    <row r="146" spans="1:11" ht="15.75" customHeight="1" x14ac:dyDescent="0.4">
      <c r="A146" s="89"/>
      <c r="C146" s="106"/>
      <c r="D146" s="106"/>
      <c r="E146" s="106"/>
      <c r="F146" s="106"/>
      <c r="G146" s="106"/>
      <c r="H146" s="104"/>
      <c r="K146" s="107"/>
    </row>
    <row r="147" spans="1:11" ht="15.75" customHeight="1" x14ac:dyDescent="0.4">
      <c r="A147" s="89"/>
      <c r="C147" s="106"/>
      <c r="D147" s="106"/>
      <c r="E147" s="106"/>
      <c r="F147" s="106"/>
      <c r="G147" s="106"/>
      <c r="H147" s="104"/>
      <c r="K147" s="107"/>
    </row>
    <row r="148" spans="1:11" ht="15.75" customHeight="1" x14ac:dyDescent="0.4">
      <c r="A148" s="89"/>
      <c r="C148" s="106"/>
      <c r="D148" s="106"/>
      <c r="E148" s="106"/>
      <c r="F148" s="106"/>
      <c r="G148" s="106"/>
      <c r="H148" s="104"/>
      <c r="K148" s="107"/>
    </row>
    <row r="149" spans="1:11" ht="15.75" customHeight="1" x14ac:dyDescent="0.4">
      <c r="A149" s="89"/>
      <c r="C149" s="106"/>
      <c r="D149" s="106"/>
      <c r="E149" s="106"/>
      <c r="F149" s="106"/>
      <c r="G149" s="106"/>
      <c r="H149" s="104"/>
      <c r="K149" s="107"/>
    </row>
    <row r="150" spans="1:11" ht="15.75" customHeight="1" x14ac:dyDescent="0.4">
      <c r="A150" s="89"/>
      <c r="C150" s="106"/>
      <c r="D150" s="106"/>
      <c r="E150" s="106"/>
      <c r="F150" s="106"/>
      <c r="G150" s="106"/>
      <c r="H150" s="104"/>
      <c r="K150" s="107"/>
    </row>
    <row r="151" spans="1:11" ht="15.75" customHeight="1" x14ac:dyDescent="0.4">
      <c r="A151" s="89"/>
      <c r="C151" s="106"/>
      <c r="D151" s="106"/>
      <c r="E151" s="106"/>
      <c r="F151" s="106"/>
      <c r="G151" s="106"/>
      <c r="H151" s="104"/>
      <c r="K151" s="107"/>
    </row>
    <row r="152" spans="1:11" ht="15.75" customHeight="1" x14ac:dyDescent="0.4">
      <c r="A152" s="89"/>
      <c r="C152" s="106"/>
      <c r="D152" s="106"/>
      <c r="E152" s="106"/>
      <c r="F152" s="106"/>
      <c r="G152" s="106"/>
      <c r="H152" s="104"/>
      <c r="K152" s="107"/>
    </row>
    <row r="153" spans="1:11" ht="15.75" customHeight="1" x14ac:dyDescent="0.4">
      <c r="A153" s="89"/>
      <c r="C153" s="106"/>
      <c r="D153" s="106"/>
      <c r="E153" s="106"/>
      <c r="F153" s="106"/>
      <c r="G153" s="106"/>
      <c r="H153" s="104"/>
      <c r="K153" s="107"/>
    </row>
    <row r="154" spans="1:11" ht="15.75" customHeight="1" x14ac:dyDescent="0.4">
      <c r="A154" s="89"/>
      <c r="C154" s="106"/>
      <c r="D154" s="106"/>
      <c r="E154" s="106"/>
      <c r="F154" s="106"/>
      <c r="G154" s="106"/>
      <c r="H154" s="104"/>
      <c r="K154" s="107"/>
    </row>
    <row r="155" spans="1:11" ht="15.75" customHeight="1" x14ac:dyDescent="0.4">
      <c r="A155" s="89"/>
      <c r="C155" s="106"/>
      <c r="D155" s="106"/>
      <c r="E155" s="106"/>
      <c r="F155" s="106"/>
      <c r="G155" s="106"/>
      <c r="H155" s="104"/>
      <c r="K155" s="107"/>
    </row>
    <row r="156" spans="1:11" ht="15.75" customHeight="1" x14ac:dyDescent="0.4">
      <c r="A156" s="89"/>
      <c r="C156" s="106"/>
      <c r="D156" s="106"/>
      <c r="E156" s="106"/>
      <c r="F156" s="106"/>
      <c r="G156" s="106"/>
      <c r="H156" s="104"/>
      <c r="K156" s="107"/>
    </row>
    <row r="157" spans="1:11" ht="15.75" customHeight="1" x14ac:dyDescent="0.4">
      <c r="A157" s="89"/>
      <c r="C157" s="106"/>
      <c r="D157" s="106"/>
      <c r="E157" s="106"/>
      <c r="F157" s="106"/>
      <c r="G157" s="106"/>
      <c r="H157" s="104"/>
      <c r="K157" s="107"/>
    </row>
    <row r="158" spans="1:11" ht="15.75" customHeight="1" x14ac:dyDescent="0.4">
      <c r="A158" s="89">
        <v>6</v>
      </c>
      <c r="B158" s="90" t="s">
        <v>675</v>
      </c>
      <c r="C158" s="106"/>
      <c r="D158" s="106"/>
      <c r="E158" s="106"/>
      <c r="F158" s="106"/>
      <c r="G158" s="106"/>
      <c r="H158" s="104"/>
      <c r="K158" s="107"/>
    </row>
    <row r="159" spans="1:11" ht="15.75" customHeight="1" x14ac:dyDescent="0.4">
      <c r="A159" s="89"/>
      <c r="C159" s="106"/>
      <c r="D159" s="106"/>
      <c r="E159" s="106"/>
      <c r="F159" s="106"/>
      <c r="G159" s="106"/>
      <c r="H159" s="104"/>
      <c r="K159" s="107"/>
    </row>
    <row r="160" spans="1:11" ht="15.75" customHeight="1" x14ac:dyDescent="0.25">
      <c r="B160" s="61" t="s">
        <v>605</v>
      </c>
      <c r="C160" s="107"/>
      <c r="D160" s="107"/>
      <c r="E160" s="107"/>
      <c r="F160" s="107"/>
      <c r="G160" s="107"/>
      <c r="H160" s="108"/>
      <c r="I160" s="108"/>
    </row>
    <row r="161" spans="2:9" ht="15.75" customHeight="1" x14ac:dyDescent="0.25">
      <c r="B161" s="409" t="s">
        <v>296</v>
      </c>
      <c r="C161" s="424"/>
      <c r="D161" s="107"/>
      <c r="E161" s="107"/>
      <c r="F161" s="107"/>
      <c r="G161" s="107"/>
      <c r="H161" s="108"/>
      <c r="I161" s="108"/>
    </row>
    <row r="162" spans="2:9" ht="15.75" customHeight="1" x14ac:dyDescent="0.25">
      <c r="B162" s="228"/>
      <c r="C162" s="420"/>
      <c r="D162" s="107"/>
      <c r="E162" s="107"/>
      <c r="F162" s="107"/>
      <c r="G162" s="107"/>
      <c r="H162" s="108"/>
      <c r="I162" s="108"/>
    </row>
    <row r="163" spans="2:9" ht="15.75" customHeight="1" x14ac:dyDescent="0.25">
      <c r="B163" s="421" t="s">
        <v>580</v>
      </c>
      <c r="C163" s="420"/>
      <c r="D163" s="107"/>
      <c r="E163" s="107"/>
      <c r="F163" s="107"/>
      <c r="G163" s="107"/>
      <c r="H163" s="108"/>
      <c r="I163" s="108"/>
    </row>
    <row r="164" spans="2:9" ht="15.75" customHeight="1" x14ac:dyDescent="0.25">
      <c r="B164" s="421" t="s">
        <v>582</v>
      </c>
      <c r="C164" s="420"/>
      <c r="D164" s="107"/>
      <c r="E164" s="107"/>
      <c r="F164" s="107"/>
      <c r="G164" s="107"/>
      <c r="H164" s="108"/>
      <c r="I164" s="108"/>
    </row>
    <row r="165" spans="2:9" ht="15.75" customHeight="1" x14ac:dyDescent="0.25">
      <c r="B165" s="421" t="s">
        <v>581</v>
      </c>
      <c r="C165" s="420"/>
      <c r="D165" s="107"/>
      <c r="E165" s="107"/>
      <c r="F165" s="107"/>
      <c r="G165" s="107"/>
      <c r="H165" s="108"/>
      <c r="I165" s="108"/>
    </row>
    <row r="166" spans="2:9" ht="15.75" customHeight="1" x14ac:dyDescent="0.25">
      <c r="B166" s="421" t="s">
        <v>578</v>
      </c>
      <c r="C166" s="420"/>
      <c r="D166" s="107"/>
      <c r="E166" s="107"/>
      <c r="F166" s="107"/>
      <c r="G166" s="107"/>
      <c r="H166" s="108"/>
      <c r="I166" s="108"/>
    </row>
    <row r="167" spans="2:9" ht="15.75" customHeight="1" x14ac:dyDescent="0.25">
      <c r="B167" s="421" t="s">
        <v>579</v>
      </c>
      <c r="C167" s="420"/>
      <c r="D167" s="107"/>
      <c r="E167" s="107"/>
      <c r="F167" s="107"/>
      <c r="G167" s="107"/>
      <c r="H167" s="108"/>
      <c r="I167" s="108"/>
    </row>
    <row r="168" spans="2:9" ht="15.75" customHeight="1" x14ac:dyDescent="0.25">
      <c r="B168" s="421" t="s">
        <v>585</v>
      </c>
      <c r="C168" s="420"/>
      <c r="D168" s="107"/>
      <c r="E168" s="107"/>
      <c r="F168" s="107"/>
      <c r="G168" s="107"/>
      <c r="H168" s="108"/>
      <c r="I168" s="108"/>
    </row>
    <row r="169" spans="2:9" ht="15.75" customHeight="1" x14ac:dyDescent="0.25">
      <c r="B169" s="421" t="s">
        <v>584</v>
      </c>
      <c r="C169" s="420"/>
      <c r="D169" s="107"/>
      <c r="E169" s="107"/>
      <c r="F169" s="107"/>
      <c r="G169" s="107"/>
      <c r="H169" s="108"/>
      <c r="I169" s="108"/>
    </row>
    <row r="170" spans="2:9" ht="15.75" customHeight="1" x14ac:dyDescent="0.25">
      <c r="B170" s="421" t="s">
        <v>583</v>
      </c>
      <c r="C170" s="420"/>
      <c r="D170" s="107"/>
      <c r="E170" s="107"/>
      <c r="F170" s="107"/>
      <c r="G170" s="107"/>
      <c r="H170" s="108"/>
      <c r="I170" s="108"/>
    </row>
    <row r="171" spans="2:9" ht="15.75" customHeight="1" x14ac:dyDescent="0.25">
      <c r="B171" s="421" t="s">
        <v>574</v>
      </c>
      <c r="C171" s="420"/>
      <c r="D171" s="107"/>
      <c r="E171" s="107"/>
      <c r="F171" s="107"/>
      <c r="G171" s="107"/>
      <c r="H171" s="108"/>
      <c r="I171" s="108"/>
    </row>
    <row r="172" spans="2:9" ht="15.75" customHeight="1" x14ac:dyDescent="0.25">
      <c r="B172" s="421" t="s">
        <v>576</v>
      </c>
      <c r="C172" s="420"/>
      <c r="D172" s="107"/>
      <c r="E172" s="107"/>
      <c r="F172" s="107"/>
      <c r="G172" s="107"/>
      <c r="H172" s="108"/>
      <c r="I172" s="108"/>
    </row>
    <row r="173" spans="2:9" ht="15.75" customHeight="1" x14ac:dyDescent="0.25">
      <c r="B173" s="421" t="s">
        <v>573</v>
      </c>
      <c r="C173" s="420"/>
      <c r="D173" s="107"/>
      <c r="E173" s="107"/>
      <c r="F173" s="107"/>
      <c r="G173" s="107"/>
      <c r="H173" s="108"/>
      <c r="I173" s="108"/>
    </row>
    <row r="174" spans="2:9" ht="15.75" customHeight="1" x14ac:dyDescent="0.25">
      <c r="B174" s="421" t="s">
        <v>571</v>
      </c>
      <c r="C174" s="420"/>
      <c r="D174" s="107"/>
      <c r="E174" s="107"/>
      <c r="F174" s="107"/>
      <c r="G174" s="107"/>
      <c r="H174" s="108"/>
      <c r="I174" s="108"/>
    </row>
    <row r="175" spans="2:9" ht="15.75" customHeight="1" x14ac:dyDescent="0.25">
      <c r="B175" s="422" t="s">
        <v>575</v>
      </c>
      <c r="C175" s="423"/>
      <c r="D175" s="107"/>
      <c r="E175" s="107"/>
      <c r="F175" s="107"/>
      <c r="G175" s="107"/>
      <c r="H175" s="108"/>
      <c r="I175" s="108"/>
    </row>
    <row r="176" spans="2:9" ht="15.75" customHeight="1" x14ac:dyDescent="0.25">
      <c r="C176" s="107"/>
      <c r="D176" s="107"/>
      <c r="E176" s="107"/>
      <c r="F176" s="107"/>
      <c r="G176" s="107"/>
      <c r="H176" s="108"/>
      <c r="I176" s="108"/>
    </row>
    <row r="177" spans="2:12" ht="15.75" customHeight="1" x14ac:dyDescent="0.25">
      <c r="C177" s="107"/>
      <c r="D177" s="107"/>
      <c r="E177" s="107"/>
      <c r="F177" s="107"/>
      <c r="G177" s="107"/>
      <c r="H177" s="108"/>
      <c r="I177" s="108"/>
    </row>
    <row r="178" spans="2:12" ht="15.75" customHeight="1" x14ac:dyDescent="0.25">
      <c r="B178" s="61" t="s">
        <v>603</v>
      </c>
      <c r="C178" s="107"/>
      <c r="D178" s="107"/>
      <c r="E178" s="107"/>
      <c r="F178" s="107"/>
      <c r="G178" s="107"/>
      <c r="H178" s="108"/>
      <c r="I178" s="108"/>
    </row>
    <row r="179" spans="2:12" ht="14.25" customHeight="1" x14ac:dyDescent="0.25">
      <c r="B179" s="409" t="s">
        <v>42</v>
      </c>
      <c r="C179" s="425"/>
      <c r="D179" s="425"/>
      <c r="E179" s="425"/>
      <c r="F179" s="425"/>
      <c r="G179" s="418"/>
      <c r="H179" s="409" t="s">
        <v>586</v>
      </c>
      <c r="I179" s="6"/>
      <c r="J179" s="418" t="s">
        <v>155</v>
      </c>
    </row>
    <row r="180" spans="2:12" x14ac:dyDescent="0.25">
      <c r="B180" s="426"/>
      <c r="C180" s="427"/>
      <c r="D180" s="427"/>
      <c r="E180" s="427"/>
      <c r="F180" s="427"/>
      <c r="G180" s="428"/>
      <c r="H180" s="421"/>
      <c r="I180" s="19"/>
      <c r="J180" s="18"/>
    </row>
    <row r="181" spans="2:12" x14ac:dyDescent="0.25">
      <c r="B181" s="228" t="s">
        <v>610</v>
      </c>
      <c r="C181" s="429"/>
      <c r="D181" s="429"/>
      <c r="E181" s="429"/>
      <c r="F181" s="429"/>
      <c r="G181" s="430"/>
      <c r="H181" s="421" t="s">
        <v>574</v>
      </c>
      <c r="I181" s="19"/>
      <c r="J181" s="448" t="s">
        <v>594</v>
      </c>
      <c r="K181" s="104"/>
      <c r="L181" s="104"/>
    </row>
    <row r="182" spans="2:12" x14ac:dyDescent="0.25">
      <c r="B182" s="228" t="s">
        <v>611</v>
      </c>
      <c r="C182" s="429"/>
      <c r="D182" s="429"/>
      <c r="E182" s="429"/>
      <c r="F182" s="429"/>
      <c r="G182" s="430"/>
      <c r="H182" s="421" t="s">
        <v>573</v>
      </c>
      <c r="I182" s="19"/>
      <c r="J182" s="448" t="s">
        <v>594</v>
      </c>
      <c r="K182" s="104"/>
      <c r="L182" s="104"/>
    </row>
    <row r="183" spans="2:12" x14ac:dyDescent="0.25">
      <c r="B183" s="228" t="s">
        <v>612</v>
      </c>
      <c r="C183" s="429"/>
      <c r="D183" s="429"/>
      <c r="E183" s="429"/>
      <c r="F183" s="429"/>
      <c r="G183" s="430"/>
      <c r="H183" s="421" t="s">
        <v>574</v>
      </c>
      <c r="I183" s="19"/>
      <c r="J183" s="448" t="s">
        <v>594</v>
      </c>
      <c r="K183" s="104"/>
      <c r="L183" s="104"/>
    </row>
    <row r="184" spans="2:12" x14ac:dyDescent="0.25">
      <c r="B184" s="228" t="s">
        <v>613</v>
      </c>
      <c r="C184" s="429"/>
      <c r="D184" s="429"/>
      <c r="E184" s="429"/>
      <c r="F184" s="429"/>
      <c r="G184" s="430"/>
      <c r="H184" s="421" t="s">
        <v>574</v>
      </c>
      <c r="I184" s="19"/>
      <c r="J184" s="448" t="s">
        <v>594</v>
      </c>
      <c r="K184" s="104"/>
      <c r="L184" s="104"/>
    </row>
    <row r="185" spans="2:12" x14ac:dyDescent="0.25">
      <c r="B185" s="228" t="s">
        <v>614</v>
      </c>
      <c r="C185" s="429"/>
      <c r="D185" s="429"/>
      <c r="E185" s="429"/>
      <c r="F185" s="429"/>
      <c r="G185" s="430"/>
      <c r="H185" s="421" t="s">
        <v>573</v>
      </c>
      <c r="I185" s="19"/>
      <c r="J185" s="448" t="s">
        <v>594</v>
      </c>
      <c r="K185" s="104"/>
      <c r="L185" s="104"/>
    </row>
    <row r="186" spans="2:12" x14ac:dyDescent="0.25">
      <c r="B186" s="228" t="s">
        <v>1</v>
      </c>
      <c r="C186" s="429"/>
      <c r="D186" s="429"/>
      <c r="E186" s="429"/>
      <c r="F186" s="429"/>
      <c r="G186" s="430"/>
      <c r="H186" s="421" t="s">
        <v>574</v>
      </c>
      <c r="I186" s="19"/>
      <c r="J186" s="448" t="s">
        <v>594</v>
      </c>
      <c r="K186" s="104"/>
      <c r="L186" s="104"/>
    </row>
    <row r="187" spans="2:12" x14ac:dyDescent="0.25">
      <c r="B187" s="228" t="s">
        <v>615</v>
      </c>
      <c r="C187" s="429"/>
      <c r="D187" s="429"/>
      <c r="E187" s="429"/>
      <c r="F187" s="429"/>
      <c r="G187" s="430"/>
      <c r="H187" s="421" t="s">
        <v>571</v>
      </c>
      <c r="I187" s="19"/>
      <c r="J187" s="448" t="s">
        <v>594</v>
      </c>
      <c r="K187" s="104"/>
      <c r="L187" s="104"/>
    </row>
    <row r="188" spans="2:12" x14ac:dyDescent="0.25">
      <c r="B188" s="228" t="s">
        <v>2</v>
      </c>
      <c r="C188" s="429"/>
      <c r="D188" s="429"/>
      <c r="E188" s="429"/>
      <c r="F188" s="429"/>
      <c r="G188" s="430"/>
      <c r="H188" s="421" t="s">
        <v>575</v>
      </c>
      <c r="I188" s="19"/>
      <c r="J188" s="448" t="s">
        <v>594</v>
      </c>
      <c r="K188" s="104"/>
      <c r="L188" s="104"/>
    </row>
    <row r="189" spans="2:12" x14ac:dyDescent="0.25">
      <c r="B189" s="228" t="s">
        <v>616</v>
      </c>
      <c r="C189" s="429"/>
      <c r="D189" s="429"/>
      <c r="E189" s="429"/>
      <c r="F189" s="429"/>
      <c r="G189" s="430"/>
      <c r="H189" s="421" t="s">
        <v>578</v>
      </c>
      <c r="I189" s="19"/>
      <c r="J189" s="448" t="s">
        <v>594</v>
      </c>
      <c r="K189" s="104"/>
      <c r="L189" s="104"/>
    </row>
    <row r="190" spans="2:12" x14ac:dyDescent="0.25">
      <c r="B190" s="228" t="s">
        <v>617</v>
      </c>
      <c r="C190" s="429"/>
      <c r="D190" s="429"/>
      <c r="E190" s="429"/>
      <c r="F190" s="429"/>
      <c r="G190" s="430"/>
      <c r="H190" s="421" t="s">
        <v>578</v>
      </c>
      <c r="I190" s="19"/>
      <c r="J190" s="448" t="s">
        <v>594</v>
      </c>
      <c r="K190" s="104"/>
      <c r="L190" s="104"/>
    </row>
    <row r="191" spans="2:12" x14ac:dyDescent="0.25">
      <c r="B191" s="228" t="s">
        <v>3</v>
      </c>
      <c r="C191" s="429"/>
      <c r="D191" s="429"/>
      <c r="E191" s="429"/>
      <c r="F191" s="429"/>
      <c r="G191" s="430"/>
      <c r="H191" s="421" t="s">
        <v>579</v>
      </c>
      <c r="I191" s="19"/>
      <c r="J191" s="448" t="s">
        <v>594</v>
      </c>
      <c r="K191" s="104"/>
      <c r="L191" s="104"/>
    </row>
    <row r="192" spans="2:12" x14ac:dyDescent="0.25">
      <c r="B192" s="228" t="s">
        <v>618</v>
      </c>
      <c r="C192" s="429"/>
      <c r="D192" s="429"/>
      <c r="E192" s="429"/>
      <c r="F192" s="429"/>
      <c r="G192" s="430"/>
      <c r="H192" s="421" t="s">
        <v>575</v>
      </c>
      <c r="I192" s="19"/>
      <c r="J192" s="448" t="s">
        <v>594</v>
      </c>
      <c r="K192" s="104"/>
      <c r="L192" s="104"/>
    </row>
    <row r="193" spans="2:12" x14ac:dyDescent="0.25">
      <c r="B193" s="228" t="s">
        <v>619</v>
      </c>
      <c r="C193" s="429"/>
      <c r="D193" s="429"/>
      <c r="E193" s="429"/>
      <c r="F193" s="429"/>
      <c r="G193" s="430"/>
      <c r="H193" s="421" t="s">
        <v>576</v>
      </c>
      <c r="I193" s="19"/>
      <c r="J193" s="448" t="s">
        <v>594</v>
      </c>
      <c r="K193" s="104"/>
      <c r="L193" s="104"/>
    </row>
    <row r="194" spans="2:12" x14ac:dyDescent="0.25">
      <c r="B194" s="228" t="s">
        <v>620</v>
      </c>
      <c r="C194" s="429"/>
      <c r="D194" s="429"/>
      <c r="E194" s="429"/>
      <c r="F194" s="429"/>
      <c r="G194" s="430"/>
      <c r="H194" s="421" t="s">
        <v>580</v>
      </c>
      <c r="I194" s="19"/>
      <c r="J194" s="448" t="s">
        <v>594</v>
      </c>
      <c r="K194" s="104"/>
      <c r="L194" s="104"/>
    </row>
    <row r="195" spans="2:12" x14ac:dyDescent="0.25">
      <c r="B195" s="228" t="s">
        <v>621</v>
      </c>
      <c r="C195" s="429"/>
      <c r="D195" s="429"/>
      <c r="E195" s="429"/>
      <c r="F195" s="429"/>
      <c r="G195" s="430"/>
      <c r="H195" s="421" t="s">
        <v>581</v>
      </c>
      <c r="I195" s="19"/>
      <c r="J195" s="448" t="s">
        <v>594</v>
      </c>
      <c r="K195" s="104"/>
      <c r="L195" s="104"/>
    </row>
    <row r="196" spans="2:12" x14ac:dyDescent="0.25">
      <c r="B196" s="228" t="s">
        <v>4</v>
      </c>
      <c r="C196" s="429"/>
      <c r="D196" s="429"/>
      <c r="E196" s="429"/>
      <c r="F196" s="429"/>
      <c r="G196" s="430"/>
      <c r="H196" s="421" t="s">
        <v>579</v>
      </c>
      <c r="I196" s="19"/>
      <c r="J196" s="448" t="s">
        <v>594</v>
      </c>
      <c r="K196" s="104"/>
      <c r="L196" s="104"/>
    </row>
    <row r="197" spans="2:12" x14ac:dyDescent="0.25">
      <c r="B197" s="228" t="s">
        <v>5</v>
      </c>
      <c r="C197" s="429"/>
      <c r="D197" s="429"/>
      <c r="E197" s="429"/>
      <c r="F197" s="429"/>
      <c r="G197" s="430"/>
      <c r="H197" s="421" t="s">
        <v>575</v>
      </c>
      <c r="I197" s="19"/>
      <c r="J197" s="448" t="s">
        <v>594</v>
      </c>
      <c r="K197" s="104"/>
      <c r="L197" s="104"/>
    </row>
    <row r="198" spans="2:12" x14ac:dyDescent="0.25">
      <c r="B198" s="228" t="s">
        <v>622</v>
      </c>
      <c r="C198" s="429"/>
      <c r="D198" s="429"/>
      <c r="E198" s="429"/>
      <c r="F198" s="429"/>
      <c r="G198" s="430"/>
      <c r="H198" s="421" t="s">
        <v>578</v>
      </c>
      <c r="I198" s="19"/>
      <c r="J198" s="448" t="s">
        <v>594</v>
      </c>
      <c r="K198" s="104"/>
      <c r="L198" s="104"/>
    </row>
    <row r="199" spans="2:12" x14ac:dyDescent="0.25">
      <c r="B199" s="228" t="s">
        <v>623</v>
      </c>
      <c r="C199" s="429"/>
      <c r="D199" s="429"/>
      <c r="E199" s="429"/>
      <c r="F199" s="429"/>
      <c r="G199" s="430"/>
      <c r="H199" s="421" t="s">
        <v>580</v>
      </c>
      <c r="I199" s="19"/>
      <c r="J199" s="448" t="s">
        <v>594</v>
      </c>
      <c r="K199" s="104"/>
      <c r="L199" s="104"/>
    </row>
    <row r="200" spans="2:12" x14ac:dyDescent="0.25">
      <c r="B200" s="228" t="s">
        <v>6</v>
      </c>
      <c r="C200" s="429"/>
      <c r="D200" s="429"/>
      <c r="E200" s="429"/>
      <c r="F200" s="429"/>
      <c r="G200" s="430"/>
      <c r="H200" s="421" t="s">
        <v>582</v>
      </c>
      <c r="I200" s="19"/>
      <c r="J200" s="448" t="s">
        <v>594</v>
      </c>
      <c r="K200" s="104"/>
      <c r="L200" s="104"/>
    </row>
    <row r="201" spans="2:12" x14ac:dyDescent="0.25">
      <c r="B201" s="228" t="s">
        <v>624</v>
      </c>
      <c r="C201" s="429"/>
      <c r="D201" s="429"/>
      <c r="E201" s="429"/>
      <c r="F201" s="429"/>
      <c r="G201" s="430"/>
      <c r="H201" s="421" t="s">
        <v>583</v>
      </c>
      <c r="I201" s="19"/>
      <c r="J201" s="448" t="s">
        <v>594</v>
      </c>
      <c r="K201" s="104"/>
      <c r="L201" s="104"/>
    </row>
    <row r="202" spans="2:12" x14ac:dyDescent="0.25">
      <c r="B202" s="228" t="s">
        <v>625</v>
      </c>
      <c r="C202" s="429"/>
      <c r="D202" s="429"/>
      <c r="E202" s="429"/>
      <c r="F202" s="429"/>
      <c r="G202" s="430"/>
      <c r="H202" s="421" t="s">
        <v>576</v>
      </c>
      <c r="I202" s="19"/>
      <c r="J202" s="448" t="s">
        <v>594</v>
      </c>
      <c r="K202" s="104"/>
      <c r="L202" s="104"/>
    </row>
    <row r="203" spans="2:12" x14ac:dyDescent="0.25">
      <c r="B203" s="228" t="s">
        <v>626</v>
      </c>
      <c r="C203" s="429"/>
      <c r="D203" s="429"/>
      <c r="E203" s="429"/>
      <c r="F203" s="429"/>
      <c r="G203" s="430"/>
      <c r="H203" s="421" t="s">
        <v>576</v>
      </c>
      <c r="I203" s="19"/>
      <c r="J203" s="448" t="s">
        <v>594</v>
      </c>
      <c r="K203" s="104"/>
      <c r="L203" s="104"/>
    </row>
    <row r="204" spans="2:12" x14ac:dyDescent="0.25">
      <c r="B204" s="228" t="s">
        <v>627</v>
      </c>
      <c r="C204" s="429"/>
      <c r="D204" s="429"/>
      <c r="E204" s="429"/>
      <c r="F204" s="429"/>
      <c r="G204" s="430"/>
      <c r="H204" s="421" t="s">
        <v>583</v>
      </c>
      <c r="I204" s="19"/>
      <c r="J204" s="448" t="s">
        <v>594</v>
      </c>
      <c r="K204" s="104"/>
      <c r="L204" s="104"/>
    </row>
    <row r="205" spans="2:12" x14ac:dyDescent="0.25">
      <c r="B205" s="228" t="s">
        <v>628</v>
      </c>
      <c r="C205" s="429"/>
      <c r="D205" s="429"/>
      <c r="E205" s="429"/>
      <c r="F205" s="429"/>
      <c r="G205" s="430"/>
      <c r="H205" s="421" t="s">
        <v>576</v>
      </c>
      <c r="I205" s="19"/>
      <c r="J205" s="448" t="s">
        <v>594</v>
      </c>
      <c r="K205" s="104"/>
      <c r="L205" s="104"/>
    </row>
    <row r="206" spans="2:12" x14ac:dyDescent="0.25">
      <c r="B206" s="228" t="s">
        <v>7</v>
      </c>
      <c r="C206" s="444"/>
      <c r="D206" s="444"/>
      <c r="E206" s="444"/>
      <c r="F206" s="444"/>
      <c r="G206" s="445"/>
      <c r="H206" s="421" t="s">
        <v>579</v>
      </c>
      <c r="I206" s="19"/>
      <c r="J206" s="448" t="s">
        <v>594</v>
      </c>
      <c r="K206" s="104"/>
      <c r="L206" s="104"/>
    </row>
    <row r="207" spans="2:12" x14ac:dyDescent="0.25">
      <c r="B207" s="228" t="s">
        <v>8</v>
      </c>
      <c r="C207" s="429"/>
      <c r="D207" s="429"/>
      <c r="E207" s="429"/>
      <c r="F207" s="429"/>
      <c r="G207" s="430"/>
      <c r="H207" s="421" t="s">
        <v>584</v>
      </c>
      <c r="I207" s="19"/>
      <c r="J207" s="448" t="s">
        <v>594</v>
      </c>
      <c r="K207" s="104"/>
      <c r="L207" s="104"/>
    </row>
    <row r="208" spans="2:12" x14ac:dyDescent="0.25">
      <c r="B208" s="228" t="s">
        <v>629</v>
      </c>
      <c r="C208" s="429"/>
      <c r="D208" s="429"/>
      <c r="E208" s="429"/>
      <c r="F208" s="429"/>
      <c r="G208" s="430"/>
      <c r="H208" s="421" t="s">
        <v>585</v>
      </c>
      <c r="I208" s="19"/>
      <c r="J208" s="448" t="s">
        <v>594</v>
      </c>
      <c r="K208" s="104"/>
      <c r="L208" s="104"/>
    </row>
    <row r="209" spans="2:12" x14ac:dyDescent="0.25">
      <c r="B209" s="228" t="s">
        <v>630</v>
      </c>
      <c r="C209" s="429"/>
      <c r="D209" s="429"/>
      <c r="E209" s="429"/>
      <c r="F209" s="429"/>
      <c r="G209" s="430"/>
      <c r="H209" s="421" t="s">
        <v>580</v>
      </c>
      <c r="I209" s="19"/>
      <c r="J209" s="448" t="s">
        <v>594</v>
      </c>
      <c r="K209" s="104"/>
      <c r="L209" s="104"/>
    </row>
    <row r="210" spans="2:12" x14ac:dyDescent="0.25">
      <c r="B210" s="228" t="s">
        <v>631</v>
      </c>
      <c r="C210" s="429"/>
      <c r="D210" s="429"/>
      <c r="E210" s="429"/>
      <c r="F210" s="429"/>
      <c r="G210" s="430"/>
      <c r="H210" s="421" t="s">
        <v>580</v>
      </c>
      <c r="I210" s="19"/>
      <c r="J210" s="448" t="s">
        <v>594</v>
      </c>
      <c r="K210" s="104"/>
      <c r="L210" s="104"/>
    </row>
    <row r="211" spans="2:12" x14ac:dyDescent="0.25">
      <c r="B211" s="228" t="s">
        <v>632</v>
      </c>
      <c r="C211" s="429"/>
      <c r="D211" s="429"/>
      <c r="E211" s="429"/>
      <c r="F211" s="429"/>
      <c r="G211" s="430"/>
      <c r="H211" s="421" t="s">
        <v>585</v>
      </c>
      <c r="I211" s="19"/>
      <c r="J211" s="448" t="s">
        <v>594</v>
      </c>
      <c r="K211" s="104"/>
      <c r="L211" s="104"/>
    </row>
    <row r="212" spans="2:12" x14ac:dyDescent="0.25">
      <c r="B212" s="228" t="s">
        <v>633</v>
      </c>
      <c r="C212" s="429"/>
      <c r="D212" s="429"/>
      <c r="E212" s="429"/>
      <c r="F212" s="429"/>
      <c r="G212" s="430"/>
      <c r="H212" s="421" t="s">
        <v>575</v>
      </c>
      <c r="I212" s="19"/>
      <c r="J212" s="448" t="s">
        <v>594</v>
      </c>
      <c r="K212" s="104"/>
      <c r="L212" s="104"/>
    </row>
    <row r="213" spans="2:12" x14ac:dyDescent="0.25">
      <c r="B213" s="228" t="s">
        <v>635</v>
      </c>
      <c r="C213" s="429"/>
      <c r="D213" s="429"/>
      <c r="E213" s="429"/>
      <c r="F213" s="429"/>
      <c r="G213" s="430"/>
      <c r="H213" s="421" t="s">
        <v>585</v>
      </c>
      <c r="I213" s="19"/>
      <c r="J213" s="448" t="s">
        <v>594</v>
      </c>
      <c r="K213" s="104"/>
      <c r="L213" s="104"/>
    </row>
    <row r="214" spans="2:12" x14ac:dyDescent="0.25">
      <c r="B214" s="228" t="s">
        <v>634</v>
      </c>
      <c r="C214" s="429"/>
      <c r="D214" s="429"/>
      <c r="E214" s="429"/>
      <c r="F214" s="429"/>
      <c r="G214" s="430"/>
      <c r="H214" s="421" t="s">
        <v>585</v>
      </c>
      <c r="I214" s="19"/>
      <c r="J214" s="448" t="s">
        <v>594</v>
      </c>
      <c r="K214" s="104"/>
      <c r="L214" s="104"/>
    </row>
    <row r="215" spans="2:12" x14ac:dyDescent="0.25">
      <c r="B215" s="228" t="s">
        <v>636</v>
      </c>
      <c r="C215" s="429"/>
      <c r="D215" s="429"/>
      <c r="E215" s="429"/>
      <c r="F215" s="429"/>
      <c r="G215" s="430"/>
      <c r="H215" s="421" t="s">
        <v>575</v>
      </c>
      <c r="I215" s="19"/>
      <c r="J215" s="448" t="s">
        <v>594</v>
      </c>
      <c r="K215" s="104"/>
      <c r="L215" s="104"/>
    </row>
    <row r="216" spans="2:12" x14ac:dyDescent="0.25">
      <c r="B216" s="228" t="s">
        <v>637</v>
      </c>
      <c r="C216" s="429"/>
      <c r="D216" s="429"/>
      <c r="E216" s="429"/>
      <c r="F216" s="429"/>
      <c r="G216" s="430"/>
      <c r="H216" s="421" t="s">
        <v>579</v>
      </c>
      <c r="I216" s="19"/>
      <c r="J216" s="448" t="s">
        <v>594</v>
      </c>
      <c r="K216" s="104"/>
      <c r="L216" s="104"/>
    </row>
    <row r="217" spans="2:12" x14ac:dyDescent="0.25">
      <c r="B217" s="228" t="s">
        <v>638</v>
      </c>
      <c r="C217" s="429"/>
      <c r="D217" s="429"/>
      <c r="E217" s="429"/>
      <c r="F217" s="429"/>
      <c r="G217" s="430"/>
      <c r="H217" s="421" t="s">
        <v>584</v>
      </c>
      <c r="I217" s="19"/>
      <c r="J217" s="448" t="s">
        <v>594</v>
      </c>
      <c r="K217" s="104"/>
      <c r="L217" s="104"/>
    </row>
    <row r="218" spans="2:12" x14ac:dyDescent="0.25">
      <c r="B218" s="228" t="s">
        <v>639</v>
      </c>
      <c r="C218" s="429"/>
      <c r="D218" s="429"/>
      <c r="E218" s="429"/>
      <c r="F218" s="429"/>
      <c r="G218" s="430"/>
      <c r="H218" s="421" t="s">
        <v>584</v>
      </c>
      <c r="I218" s="19"/>
      <c r="J218" s="448" t="s">
        <v>594</v>
      </c>
      <c r="K218" s="104"/>
      <c r="L218" s="104"/>
    </row>
    <row r="219" spans="2:12" x14ac:dyDescent="0.25">
      <c r="B219" s="228" t="s">
        <v>640</v>
      </c>
      <c r="C219" s="429"/>
      <c r="D219" s="429"/>
      <c r="E219" s="429"/>
      <c r="F219" s="429"/>
      <c r="G219" s="430"/>
      <c r="H219" s="421" t="s">
        <v>574</v>
      </c>
      <c r="I219" s="19"/>
      <c r="J219" s="448" t="s">
        <v>594</v>
      </c>
      <c r="K219" s="104"/>
      <c r="L219" s="104"/>
    </row>
    <row r="220" spans="2:12" x14ac:dyDescent="0.25">
      <c r="B220" s="228" t="s">
        <v>641</v>
      </c>
      <c r="C220" s="429"/>
      <c r="D220" s="429"/>
      <c r="E220" s="429"/>
      <c r="F220" s="429"/>
      <c r="G220" s="430"/>
      <c r="H220" s="421" t="s">
        <v>582</v>
      </c>
      <c r="I220" s="19"/>
      <c r="J220" s="448" t="s">
        <v>594</v>
      </c>
      <c r="K220" s="104"/>
      <c r="L220" s="104"/>
    </row>
    <row r="221" spans="2:12" x14ac:dyDescent="0.25">
      <c r="B221" s="228" t="s">
        <v>642</v>
      </c>
      <c r="C221" s="429"/>
      <c r="D221" s="429"/>
      <c r="E221" s="429"/>
      <c r="F221" s="429"/>
      <c r="G221" s="430"/>
      <c r="H221" s="421" t="s">
        <v>575</v>
      </c>
      <c r="I221" s="19"/>
      <c r="J221" s="448" t="s">
        <v>594</v>
      </c>
      <c r="K221" s="104"/>
      <c r="L221" s="104"/>
    </row>
    <row r="222" spans="2:12" x14ac:dyDescent="0.25">
      <c r="B222" s="228" t="s">
        <v>643</v>
      </c>
      <c r="C222" s="429"/>
      <c r="D222" s="429"/>
      <c r="E222" s="429"/>
      <c r="F222" s="429"/>
      <c r="G222" s="430"/>
      <c r="H222" s="421" t="s">
        <v>571</v>
      </c>
      <c r="I222" s="19"/>
      <c r="J222" s="448" t="s">
        <v>594</v>
      </c>
      <c r="K222" s="104"/>
      <c r="L222" s="104"/>
    </row>
    <row r="223" spans="2:12" x14ac:dyDescent="0.25">
      <c r="B223" s="228" t="s">
        <v>644</v>
      </c>
      <c r="C223" s="429"/>
      <c r="D223" s="429"/>
      <c r="E223" s="429"/>
      <c r="F223" s="429"/>
      <c r="G223" s="430"/>
      <c r="H223" s="421" t="s">
        <v>571</v>
      </c>
      <c r="I223" s="19"/>
      <c r="J223" s="448" t="s">
        <v>594</v>
      </c>
      <c r="K223" s="104"/>
      <c r="L223" s="104"/>
    </row>
    <row r="224" spans="2:12" x14ac:dyDescent="0.25">
      <c r="B224" s="228" t="s">
        <v>645</v>
      </c>
      <c r="C224" s="429"/>
      <c r="D224" s="429"/>
      <c r="E224" s="429"/>
      <c r="F224" s="429"/>
      <c r="G224" s="430"/>
      <c r="H224" s="421" t="s">
        <v>575</v>
      </c>
      <c r="I224" s="19"/>
      <c r="J224" s="448" t="s">
        <v>594</v>
      </c>
      <c r="K224" s="104"/>
      <c r="L224" s="104"/>
    </row>
    <row r="225" spans="2:12" x14ac:dyDescent="0.25">
      <c r="B225" s="228" t="s">
        <v>646</v>
      </c>
      <c r="C225" s="429"/>
      <c r="D225" s="429"/>
      <c r="E225" s="429"/>
      <c r="F225" s="429"/>
      <c r="G225" s="430"/>
      <c r="H225" s="421" t="s">
        <v>584</v>
      </c>
      <c r="I225" s="19"/>
      <c r="J225" s="448" t="s">
        <v>594</v>
      </c>
      <c r="K225" s="104"/>
      <c r="L225" s="104"/>
    </row>
    <row r="226" spans="2:12" x14ac:dyDescent="0.25">
      <c r="B226" s="228" t="s">
        <v>647</v>
      </c>
      <c r="C226" s="429"/>
      <c r="D226" s="429"/>
      <c r="E226" s="429"/>
      <c r="F226" s="429"/>
      <c r="G226" s="430"/>
      <c r="H226" s="421" t="s">
        <v>575</v>
      </c>
      <c r="I226" s="19"/>
      <c r="J226" s="448" t="s">
        <v>594</v>
      </c>
      <c r="K226" s="104"/>
      <c r="L226" s="104"/>
    </row>
    <row r="227" spans="2:12" x14ac:dyDescent="0.25">
      <c r="B227" s="228" t="s">
        <v>648</v>
      </c>
      <c r="C227" s="429"/>
      <c r="D227" s="429"/>
      <c r="E227" s="429"/>
      <c r="F227" s="429"/>
      <c r="G227" s="430"/>
      <c r="H227" s="421" t="s">
        <v>573</v>
      </c>
      <c r="I227" s="19"/>
      <c r="J227" s="448" t="s">
        <v>594</v>
      </c>
      <c r="K227" s="104"/>
      <c r="L227" s="104"/>
    </row>
    <row r="228" spans="2:12" x14ac:dyDescent="0.25">
      <c r="B228" s="228" t="s">
        <v>9</v>
      </c>
      <c r="C228" s="429"/>
      <c r="D228" s="429"/>
      <c r="E228" s="429"/>
      <c r="F228" s="429"/>
      <c r="G228" s="430"/>
      <c r="H228" s="421" t="s">
        <v>571</v>
      </c>
      <c r="I228" s="19"/>
      <c r="J228" s="448" t="s">
        <v>594</v>
      </c>
      <c r="K228" s="104"/>
      <c r="L228" s="104"/>
    </row>
    <row r="229" spans="2:12" x14ac:dyDescent="0.25">
      <c r="B229" s="228" t="s">
        <v>649</v>
      </c>
      <c r="C229" s="429"/>
      <c r="D229" s="429"/>
      <c r="E229" s="429"/>
      <c r="F229" s="429"/>
      <c r="G229" s="430"/>
      <c r="H229" s="421" t="s">
        <v>584</v>
      </c>
      <c r="I229" s="19"/>
      <c r="J229" s="448" t="s">
        <v>594</v>
      </c>
      <c r="K229" s="104"/>
      <c r="L229" s="104"/>
    </row>
    <row r="230" spans="2:12" x14ac:dyDescent="0.25">
      <c r="B230" s="228" t="s">
        <v>650</v>
      </c>
      <c r="C230" s="429"/>
      <c r="D230" s="429"/>
      <c r="E230" s="429"/>
      <c r="F230" s="429"/>
      <c r="G230" s="430"/>
      <c r="H230" s="421" t="s">
        <v>571</v>
      </c>
      <c r="I230" s="19"/>
      <c r="J230" s="448" t="s">
        <v>594</v>
      </c>
      <c r="K230" s="104"/>
      <c r="L230" s="104"/>
    </row>
    <row r="231" spans="2:12" x14ac:dyDescent="0.25">
      <c r="B231" s="228" t="s">
        <v>10</v>
      </c>
      <c r="C231" s="429"/>
      <c r="D231" s="429"/>
      <c r="E231" s="429"/>
      <c r="F231" s="429"/>
      <c r="G231" s="430"/>
      <c r="H231" s="421" t="s">
        <v>581</v>
      </c>
      <c r="I231" s="19"/>
      <c r="J231" s="448" t="s">
        <v>594</v>
      </c>
      <c r="K231" s="104"/>
      <c r="L231" s="104"/>
    </row>
    <row r="232" spans="2:12" x14ac:dyDescent="0.25">
      <c r="B232" s="228" t="s">
        <v>651</v>
      </c>
      <c r="C232" s="429"/>
      <c r="D232" s="429"/>
      <c r="E232" s="429"/>
      <c r="F232" s="429"/>
      <c r="G232" s="430"/>
      <c r="H232" s="421" t="s">
        <v>575</v>
      </c>
      <c r="I232" s="19"/>
      <c r="J232" s="448" t="s">
        <v>594</v>
      </c>
      <c r="K232" s="104"/>
      <c r="L232" s="104"/>
    </row>
    <row r="233" spans="2:12" x14ac:dyDescent="0.25">
      <c r="B233" s="228" t="s">
        <v>652</v>
      </c>
      <c r="C233" s="429"/>
      <c r="D233" s="429"/>
      <c r="E233" s="429"/>
      <c r="F233" s="429"/>
      <c r="G233" s="430"/>
      <c r="H233" s="421" t="s">
        <v>575</v>
      </c>
      <c r="I233" s="19"/>
      <c r="J233" s="448" t="s">
        <v>594</v>
      </c>
      <c r="K233" s="104"/>
      <c r="L233" s="104"/>
    </row>
    <row r="234" spans="2:12" x14ac:dyDescent="0.25">
      <c r="B234" s="228" t="s">
        <v>653</v>
      </c>
      <c r="C234" s="429"/>
      <c r="D234" s="429"/>
      <c r="E234" s="429"/>
      <c r="F234" s="429"/>
      <c r="G234" s="430"/>
      <c r="H234" s="421" t="s">
        <v>575</v>
      </c>
      <c r="I234" s="19"/>
      <c r="J234" s="448" t="s">
        <v>594</v>
      </c>
      <c r="K234" s="104"/>
      <c r="L234" s="104"/>
    </row>
    <row r="235" spans="2:12" x14ac:dyDescent="0.25">
      <c r="B235" s="228" t="s">
        <v>654</v>
      </c>
      <c r="C235" s="429"/>
      <c r="D235" s="429"/>
      <c r="E235" s="429"/>
      <c r="F235" s="429"/>
      <c r="G235" s="430"/>
      <c r="H235" s="421" t="s">
        <v>571</v>
      </c>
      <c r="I235" s="19"/>
      <c r="J235" s="448" t="s">
        <v>594</v>
      </c>
      <c r="K235" s="104"/>
      <c r="L235" s="104"/>
    </row>
    <row r="236" spans="2:12" x14ac:dyDescent="0.25">
      <c r="B236" s="228" t="s">
        <v>11</v>
      </c>
      <c r="C236" s="429"/>
      <c r="D236" s="429"/>
      <c r="E236" s="429"/>
      <c r="F236" s="429"/>
      <c r="G236" s="430"/>
      <c r="H236" s="421" t="s">
        <v>580</v>
      </c>
      <c r="I236" s="19"/>
      <c r="J236" s="448" t="s">
        <v>594</v>
      </c>
      <c r="K236" s="104"/>
      <c r="L236" s="104"/>
    </row>
    <row r="237" spans="2:12" x14ac:dyDescent="0.25">
      <c r="B237" s="228" t="s">
        <v>12</v>
      </c>
      <c r="C237" s="429"/>
      <c r="D237" s="429"/>
      <c r="E237" s="429"/>
      <c r="F237" s="429"/>
      <c r="G237" s="430"/>
      <c r="H237" s="421" t="s">
        <v>578</v>
      </c>
      <c r="I237" s="19"/>
      <c r="J237" s="448" t="s">
        <v>594</v>
      </c>
      <c r="K237" s="104"/>
      <c r="L237" s="104"/>
    </row>
    <row r="238" spans="2:12" x14ac:dyDescent="0.25">
      <c r="B238" s="228" t="s">
        <v>13</v>
      </c>
      <c r="C238" s="429"/>
      <c r="D238" s="429"/>
      <c r="E238" s="429"/>
      <c r="F238" s="429"/>
      <c r="G238" s="430"/>
      <c r="H238" s="421" t="s">
        <v>571</v>
      </c>
      <c r="I238" s="19"/>
      <c r="J238" s="448" t="s">
        <v>594</v>
      </c>
      <c r="K238" s="104"/>
      <c r="L238" s="104"/>
    </row>
    <row r="239" spans="2:12" x14ac:dyDescent="0.25">
      <c r="B239" s="228" t="s">
        <v>14</v>
      </c>
      <c r="C239" s="429"/>
      <c r="D239" s="429"/>
      <c r="E239" s="429"/>
      <c r="F239" s="429"/>
      <c r="G239" s="430"/>
      <c r="H239" s="421" t="s">
        <v>576</v>
      </c>
      <c r="I239" s="19"/>
      <c r="J239" s="448" t="s">
        <v>594</v>
      </c>
      <c r="K239" s="104"/>
      <c r="L239" s="104"/>
    </row>
    <row r="240" spans="2:12" x14ac:dyDescent="0.25">
      <c r="B240" s="228" t="s">
        <v>15</v>
      </c>
      <c r="C240" s="429"/>
      <c r="D240" s="429"/>
      <c r="E240" s="429"/>
      <c r="F240" s="429"/>
      <c r="G240" s="430"/>
      <c r="H240" s="421" t="s">
        <v>582</v>
      </c>
      <c r="I240" s="19"/>
      <c r="J240" s="448" t="s">
        <v>594</v>
      </c>
      <c r="K240" s="104"/>
      <c r="L240" s="104"/>
    </row>
    <row r="241" spans="2:12" x14ac:dyDescent="0.25">
      <c r="B241" s="228" t="s">
        <v>16</v>
      </c>
      <c r="C241" s="429"/>
      <c r="D241" s="429"/>
      <c r="E241" s="429"/>
      <c r="F241" s="429"/>
      <c r="G241" s="430"/>
      <c r="H241" s="421" t="s">
        <v>578</v>
      </c>
      <c r="I241" s="19"/>
      <c r="J241" s="448" t="s">
        <v>594</v>
      </c>
      <c r="K241" s="104"/>
      <c r="L241" s="104"/>
    </row>
    <row r="242" spans="2:12" x14ac:dyDescent="0.25">
      <c r="B242" s="228" t="s">
        <v>17</v>
      </c>
      <c r="C242" s="429"/>
      <c r="D242" s="429"/>
      <c r="E242" s="429"/>
      <c r="F242" s="429"/>
      <c r="G242" s="430"/>
      <c r="H242" s="421" t="s">
        <v>584</v>
      </c>
      <c r="I242" s="19"/>
      <c r="J242" s="448" t="s">
        <v>594</v>
      </c>
      <c r="K242" s="104"/>
      <c r="L242" s="104"/>
    </row>
    <row r="243" spans="2:12" x14ac:dyDescent="0.25">
      <c r="B243" s="228" t="s">
        <v>18</v>
      </c>
      <c r="C243" s="429"/>
      <c r="D243" s="429"/>
      <c r="E243" s="429"/>
      <c r="F243" s="429"/>
      <c r="G243" s="430"/>
      <c r="H243" s="421" t="s">
        <v>578</v>
      </c>
      <c r="I243" s="19"/>
      <c r="J243" s="448" t="s">
        <v>594</v>
      </c>
      <c r="K243" s="104"/>
      <c r="L243" s="104"/>
    </row>
    <row r="244" spans="2:12" x14ac:dyDescent="0.25">
      <c r="B244" s="228" t="s">
        <v>19</v>
      </c>
      <c r="C244" s="429"/>
      <c r="D244" s="429"/>
      <c r="E244" s="429"/>
      <c r="F244" s="429"/>
      <c r="G244" s="430"/>
      <c r="H244" s="421" t="s">
        <v>578</v>
      </c>
      <c r="I244" s="19"/>
      <c r="J244" s="448" t="s">
        <v>594</v>
      </c>
      <c r="K244" s="104"/>
      <c r="L244" s="104"/>
    </row>
    <row r="245" spans="2:12" x14ac:dyDescent="0.25">
      <c r="B245" s="228" t="s">
        <v>20</v>
      </c>
      <c r="C245" s="429"/>
      <c r="D245" s="429"/>
      <c r="E245" s="429"/>
      <c r="F245" s="429"/>
      <c r="G245" s="430"/>
      <c r="H245" s="421" t="s">
        <v>582</v>
      </c>
      <c r="I245" s="19"/>
      <c r="J245" s="448" t="s">
        <v>594</v>
      </c>
      <c r="K245" s="104"/>
      <c r="L245" s="104"/>
    </row>
    <row r="246" spans="2:12" x14ac:dyDescent="0.25">
      <c r="B246" s="228" t="s">
        <v>21</v>
      </c>
      <c r="C246" s="429"/>
      <c r="D246" s="429"/>
      <c r="E246" s="429"/>
      <c r="F246" s="429"/>
      <c r="G246" s="430"/>
      <c r="H246" s="421" t="s">
        <v>582</v>
      </c>
      <c r="I246" s="19"/>
      <c r="J246" s="448" t="s">
        <v>594</v>
      </c>
      <c r="K246" s="104"/>
      <c r="L246" s="104"/>
    </row>
    <row r="247" spans="2:12" x14ac:dyDescent="0.25">
      <c r="B247" s="228" t="s">
        <v>22</v>
      </c>
      <c r="C247" s="429"/>
      <c r="D247" s="429"/>
      <c r="E247" s="429"/>
      <c r="F247" s="429"/>
      <c r="G247" s="430"/>
      <c r="H247" s="421" t="s">
        <v>578</v>
      </c>
      <c r="I247" s="19"/>
      <c r="J247" s="448" t="s">
        <v>594</v>
      </c>
      <c r="K247" s="104"/>
      <c r="L247" s="104"/>
    </row>
    <row r="248" spans="2:12" x14ac:dyDescent="0.25">
      <c r="B248" s="228" t="s">
        <v>23</v>
      </c>
      <c r="C248" s="429"/>
      <c r="D248" s="429"/>
      <c r="E248" s="429"/>
      <c r="F248" s="429"/>
      <c r="G248" s="430"/>
      <c r="H248" s="421" t="s">
        <v>578</v>
      </c>
      <c r="I248" s="19"/>
      <c r="J248" s="448" t="s">
        <v>594</v>
      </c>
      <c r="K248" s="104"/>
      <c r="L248" s="104"/>
    </row>
    <row r="249" spans="2:12" x14ac:dyDescent="0.25">
      <c r="B249" s="228" t="s">
        <v>24</v>
      </c>
      <c r="C249" s="429"/>
      <c r="D249" s="429"/>
      <c r="E249" s="429"/>
      <c r="F249" s="429"/>
      <c r="G249" s="430"/>
      <c r="H249" s="421" t="s">
        <v>582</v>
      </c>
      <c r="I249" s="19"/>
      <c r="J249" s="448" t="s">
        <v>594</v>
      </c>
      <c r="K249" s="104"/>
      <c r="L249" s="104"/>
    </row>
    <row r="250" spans="2:12" x14ac:dyDescent="0.25">
      <c r="B250" s="228" t="s">
        <v>25</v>
      </c>
      <c r="C250" s="429"/>
      <c r="D250" s="429"/>
      <c r="E250" s="429"/>
      <c r="F250" s="429"/>
      <c r="G250" s="430"/>
      <c r="H250" s="421" t="s">
        <v>582</v>
      </c>
      <c r="I250" s="19"/>
      <c r="J250" s="448" t="s">
        <v>594</v>
      </c>
      <c r="K250" s="104"/>
      <c r="L250" s="104"/>
    </row>
    <row r="251" spans="2:12" x14ac:dyDescent="0.25">
      <c r="B251" s="228" t="s">
        <v>26</v>
      </c>
      <c r="C251" s="429"/>
      <c r="D251" s="429"/>
      <c r="E251" s="429"/>
      <c r="F251" s="429"/>
      <c r="G251" s="430"/>
      <c r="H251" s="421" t="s">
        <v>575</v>
      </c>
      <c r="I251" s="19"/>
      <c r="J251" s="448" t="s">
        <v>594</v>
      </c>
      <c r="K251" s="104"/>
      <c r="L251" s="104"/>
    </row>
    <row r="252" spans="2:12" x14ac:dyDescent="0.25">
      <c r="B252" s="228" t="s">
        <v>27</v>
      </c>
      <c r="C252" s="429"/>
      <c r="D252" s="429"/>
      <c r="E252" s="429"/>
      <c r="F252" s="429"/>
      <c r="G252" s="430"/>
      <c r="H252" s="421" t="s">
        <v>578</v>
      </c>
      <c r="I252" s="19"/>
      <c r="J252" s="448" t="s">
        <v>594</v>
      </c>
      <c r="K252" s="104"/>
      <c r="L252" s="104"/>
    </row>
    <row r="253" spans="2:12" x14ac:dyDescent="0.25">
      <c r="B253" s="228" t="s">
        <v>28</v>
      </c>
      <c r="C253" s="429"/>
      <c r="D253" s="429"/>
      <c r="E253" s="429"/>
      <c r="F253" s="429"/>
      <c r="G253" s="430"/>
      <c r="H253" s="421" t="s">
        <v>578</v>
      </c>
      <c r="I253" s="19"/>
      <c r="J253" s="448" t="s">
        <v>594</v>
      </c>
      <c r="K253" s="104"/>
      <c r="L253" s="104"/>
    </row>
    <row r="254" spans="2:12" x14ac:dyDescent="0.25">
      <c r="B254" s="228" t="s">
        <v>29</v>
      </c>
      <c r="C254" s="429"/>
      <c r="D254" s="429"/>
      <c r="E254" s="429"/>
      <c r="F254" s="429"/>
      <c r="G254" s="430"/>
      <c r="H254" s="421" t="s">
        <v>576</v>
      </c>
      <c r="I254" s="19"/>
      <c r="J254" s="448" t="s">
        <v>594</v>
      </c>
      <c r="K254" s="104"/>
      <c r="L254" s="104"/>
    </row>
    <row r="255" spans="2:12" x14ac:dyDescent="0.25">
      <c r="B255" s="190" t="s">
        <v>30</v>
      </c>
      <c r="C255" s="434"/>
      <c r="D255" s="434"/>
      <c r="E255" s="434"/>
      <c r="F255" s="434"/>
      <c r="G255" s="435"/>
      <c r="H255" s="422" t="s">
        <v>576</v>
      </c>
      <c r="I255" s="20"/>
      <c r="J255" s="449" t="s">
        <v>594</v>
      </c>
      <c r="K255" s="104"/>
      <c r="L255" s="104"/>
    </row>
    <row r="256" spans="2:12" x14ac:dyDescent="0.25">
      <c r="B256" s="98"/>
      <c r="C256" s="98"/>
      <c r="D256" s="98"/>
      <c r="E256" s="98"/>
      <c r="F256" s="98"/>
      <c r="G256" s="98"/>
      <c r="H256" s="98"/>
      <c r="J256" s="108"/>
      <c r="K256" s="104"/>
      <c r="L256" s="104"/>
    </row>
    <row r="257" spans="2:12" x14ac:dyDescent="0.25">
      <c r="K257" s="104"/>
      <c r="L257" s="104"/>
    </row>
    <row r="258" spans="2:12" x14ac:dyDescent="0.25">
      <c r="K258" s="104"/>
      <c r="L258" s="104"/>
    </row>
    <row r="259" spans="2:12" x14ac:dyDescent="0.25">
      <c r="B259" s="61" t="s">
        <v>604</v>
      </c>
      <c r="K259" s="104"/>
      <c r="L259" s="104"/>
    </row>
    <row r="260" spans="2:12" x14ac:dyDescent="0.25">
      <c r="B260" s="409" t="s">
        <v>42</v>
      </c>
      <c r="C260" s="425"/>
      <c r="D260" s="425"/>
      <c r="E260" s="425"/>
      <c r="F260" s="425"/>
      <c r="G260" s="418"/>
      <c r="H260" s="407" t="s">
        <v>586</v>
      </c>
      <c r="I260" s="6"/>
      <c r="J260" s="407" t="s">
        <v>155</v>
      </c>
      <c r="K260" s="104"/>
      <c r="L260" s="104"/>
    </row>
    <row r="261" spans="2:12" x14ac:dyDescent="0.25">
      <c r="B261" s="426"/>
      <c r="C261" s="427"/>
      <c r="D261" s="427"/>
      <c r="E261" s="427"/>
      <c r="F261" s="427"/>
      <c r="G261" s="428"/>
      <c r="H261" s="426"/>
      <c r="I261" s="18"/>
      <c r="J261" s="187"/>
      <c r="K261" s="104"/>
      <c r="L261" s="104"/>
    </row>
    <row r="262" spans="2:12" x14ac:dyDescent="0.25">
      <c r="B262" s="228" t="s">
        <v>31</v>
      </c>
      <c r="C262" s="429"/>
      <c r="D262" s="429"/>
      <c r="E262" s="429"/>
      <c r="F262" s="429"/>
      <c r="G262" s="430"/>
      <c r="H262" s="421" t="s">
        <v>577</v>
      </c>
      <c r="I262" s="19"/>
      <c r="J262" s="431" t="s">
        <v>594</v>
      </c>
      <c r="K262" s="104"/>
      <c r="L262" s="104"/>
    </row>
    <row r="263" spans="2:12" x14ac:dyDescent="0.25">
      <c r="B263" s="228" t="s">
        <v>32</v>
      </c>
      <c r="C263" s="429"/>
      <c r="D263" s="429"/>
      <c r="E263" s="429"/>
      <c r="F263" s="429"/>
      <c r="G263" s="430"/>
      <c r="H263" s="421" t="s">
        <v>572</v>
      </c>
      <c r="I263" s="19"/>
      <c r="J263" s="431" t="s">
        <v>594</v>
      </c>
      <c r="K263" s="104"/>
      <c r="L263" s="104"/>
    </row>
    <row r="264" spans="2:12" x14ac:dyDescent="0.25">
      <c r="B264" s="228" t="s">
        <v>33</v>
      </c>
      <c r="C264" s="429"/>
      <c r="D264" s="429"/>
      <c r="E264" s="429"/>
      <c r="F264" s="429"/>
      <c r="G264" s="430"/>
      <c r="H264" s="421" t="s">
        <v>592</v>
      </c>
      <c r="I264" s="19"/>
      <c r="J264" s="431" t="s">
        <v>594</v>
      </c>
      <c r="K264" s="104"/>
      <c r="L264" s="104"/>
    </row>
    <row r="265" spans="2:12" x14ac:dyDescent="0.25">
      <c r="B265" s="228" t="s">
        <v>33</v>
      </c>
      <c r="C265" s="429"/>
      <c r="D265" s="429"/>
      <c r="E265" s="429"/>
      <c r="F265" s="429"/>
      <c r="G265" s="430"/>
      <c r="H265" s="421" t="s">
        <v>593</v>
      </c>
      <c r="I265" s="19"/>
      <c r="J265" s="431" t="s">
        <v>594</v>
      </c>
      <c r="K265" s="104"/>
      <c r="L265" s="104"/>
    </row>
    <row r="266" spans="2:12" x14ac:dyDescent="0.25">
      <c r="B266" s="228" t="s">
        <v>34</v>
      </c>
      <c r="C266" s="429"/>
      <c r="D266" s="429"/>
      <c r="E266" s="429"/>
      <c r="F266" s="429"/>
      <c r="G266" s="430"/>
      <c r="H266" s="421" t="s">
        <v>570</v>
      </c>
      <c r="I266" s="19"/>
      <c r="J266" s="431" t="s">
        <v>594</v>
      </c>
      <c r="K266" s="104"/>
      <c r="L266" s="104"/>
    </row>
    <row r="267" spans="2:12" x14ac:dyDescent="0.25">
      <c r="B267" s="228" t="s">
        <v>35</v>
      </c>
      <c r="C267" s="429"/>
      <c r="D267" s="429"/>
      <c r="E267" s="429"/>
      <c r="F267" s="429"/>
      <c r="G267" s="430"/>
      <c r="H267" s="421" t="s">
        <v>592</v>
      </c>
      <c r="I267" s="19"/>
      <c r="J267" s="431" t="s">
        <v>417</v>
      </c>
      <c r="K267" s="104"/>
      <c r="L267" s="104"/>
    </row>
    <row r="268" spans="2:12" x14ac:dyDescent="0.25">
      <c r="B268" s="228" t="s">
        <v>35</v>
      </c>
      <c r="C268" s="429"/>
      <c r="D268" s="429"/>
      <c r="E268" s="429"/>
      <c r="F268" s="429"/>
      <c r="G268" s="430"/>
      <c r="H268" s="421" t="s">
        <v>593</v>
      </c>
      <c r="I268" s="19"/>
      <c r="J268" s="431" t="s">
        <v>417</v>
      </c>
      <c r="K268" s="104"/>
      <c r="L268" s="104"/>
    </row>
    <row r="269" spans="2:12" x14ac:dyDescent="0.25">
      <c r="B269" s="228" t="s">
        <v>36</v>
      </c>
      <c r="C269" s="432"/>
      <c r="D269" s="432"/>
      <c r="E269" s="432"/>
      <c r="F269" s="432"/>
      <c r="G269" s="433"/>
      <c r="H269" s="421" t="s">
        <v>592</v>
      </c>
      <c r="I269" s="19"/>
      <c r="J269" s="431" t="s">
        <v>417</v>
      </c>
      <c r="K269" s="104"/>
      <c r="L269" s="104"/>
    </row>
    <row r="270" spans="2:12" x14ac:dyDescent="0.25">
      <c r="B270" s="228" t="s">
        <v>36</v>
      </c>
      <c r="C270" s="432"/>
      <c r="D270" s="432"/>
      <c r="E270" s="432"/>
      <c r="F270" s="432"/>
      <c r="G270" s="433"/>
      <c r="H270" s="421" t="s">
        <v>593</v>
      </c>
      <c r="I270" s="19"/>
      <c r="J270" s="431" t="s">
        <v>417</v>
      </c>
      <c r="K270" s="104"/>
      <c r="L270" s="104"/>
    </row>
    <row r="271" spans="2:12" x14ac:dyDescent="0.25">
      <c r="B271" s="228" t="s">
        <v>37</v>
      </c>
      <c r="C271" s="429"/>
      <c r="D271" s="429"/>
      <c r="E271" s="429"/>
      <c r="F271" s="429"/>
      <c r="G271" s="430"/>
      <c r="H271" s="421" t="s">
        <v>572</v>
      </c>
      <c r="I271" s="19"/>
      <c r="J271" s="431" t="s">
        <v>594</v>
      </c>
      <c r="K271" s="104"/>
      <c r="L271" s="104"/>
    </row>
    <row r="272" spans="2:12" x14ac:dyDescent="0.25">
      <c r="B272" s="228" t="s">
        <v>38</v>
      </c>
      <c r="C272" s="429"/>
      <c r="D272" s="429"/>
      <c r="E272" s="429"/>
      <c r="F272" s="429"/>
      <c r="G272" s="430"/>
      <c r="H272" s="421" t="s">
        <v>572</v>
      </c>
      <c r="I272" s="19"/>
      <c r="J272" s="431" t="s">
        <v>594</v>
      </c>
      <c r="K272" s="104"/>
      <c r="L272" s="104"/>
    </row>
    <row r="273" spans="2:13" x14ac:dyDescent="0.25">
      <c r="B273" s="228" t="s">
        <v>39</v>
      </c>
      <c r="C273" s="429"/>
      <c r="D273" s="429"/>
      <c r="E273" s="429"/>
      <c r="F273" s="429"/>
      <c r="G273" s="430"/>
      <c r="H273" s="421" t="s">
        <v>592</v>
      </c>
      <c r="I273" s="19"/>
      <c r="J273" s="431" t="s">
        <v>417</v>
      </c>
      <c r="K273" s="104"/>
      <c r="L273" s="104"/>
    </row>
    <row r="274" spans="2:13" x14ac:dyDescent="0.25">
      <c r="B274" s="228" t="s">
        <v>39</v>
      </c>
      <c r="C274" s="429"/>
      <c r="D274" s="429"/>
      <c r="E274" s="429"/>
      <c r="F274" s="429"/>
      <c r="G274" s="430"/>
      <c r="H274" s="421" t="s">
        <v>593</v>
      </c>
      <c r="I274" s="19"/>
      <c r="J274" s="431" t="s">
        <v>417</v>
      </c>
      <c r="K274" s="104"/>
      <c r="L274" s="104"/>
    </row>
    <row r="275" spans="2:13" x14ac:dyDescent="0.25">
      <c r="B275" s="228" t="s">
        <v>40</v>
      </c>
      <c r="C275" s="429"/>
      <c r="D275" s="429"/>
      <c r="E275" s="429"/>
      <c r="F275" s="429"/>
      <c r="G275" s="430"/>
      <c r="H275" s="421" t="s">
        <v>572</v>
      </c>
      <c r="I275" s="19"/>
      <c r="J275" s="431" t="s">
        <v>594</v>
      </c>
      <c r="K275" s="104"/>
      <c r="L275" s="104"/>
    </row>
    <row r="276" spans="2:13" x14ac:dyDescent="0.25">
      <c r="B276" s="190" t="s">
        <v>41</v>
      </c>
      <c r="C276" s="434"/>
      <c r="D276" s="434"/>
      <c r="E276" s="434"/>
      <c r="F276" s="434"/>
      <c r="G276" s="435"/>
      <c r="H276" s="422" t="s">
        <v>577</v>
      </c>
      <c r="I276" s="20"/>
      <c r="J276" s="436" t="s">
        <v>594</v>
      </c>
      <c r="K276" s="104"/>
      <c r="L276" s="104"/>
    </row>
    <row r="277" spans="2:13" x14ac:dyDescent="0.25">
      <c r="B277" s="98"/>
      <c r="C277" s="98"/>
      <c r="D277" s="98"/>
      <c r="E277" s="98"/>
      <c r="F277" s="98"/>
      <c r="G277" s="98"/>
      <c r="H277" s="98"/>
      <c r="I277" s="108"/>
      <c r="M277" s="61" t="str">
        <f>+CONCATENATE(B277,K277,C277,L277)</f>
        <v/>
      </c>
    </row>
    <row r="278" spans="2:13" x14ac:dyDescent="0.25">
      <c r="B278" s="61" t="s">
        <v>602</v>
      </c>
      <c r="I278" s="108"/>
    </row>
    <row r="280" spans="2:13" x14ac:dyDescent="0.25">
      <c r="I280" s="108"/>
    </row>
    <row r="281" spans="2:13" ht="25.5" customHeight="1" x14ac:dyDescent="0.25">
      <c r="B281" s="684" t="s">
        <v>586</v>
      </c>
      <c r="C281" s="685"/>
      <c r="D281" s="466"/>
      <c r="E281" s="681" t="s">
        <v>589</v>
      </c>
      <c r="F281" s="682"/>
      <c r="G281" s="683"/>
      <c r="H281" s="681" t="s">
        <v>591</v>
      </c>
      <c r="I281" s="682"/>
      <c r="J281" s="683"/>
    </row>
    <row r="282" spans="2:13" ht="43.5" customHeight="1" x14ac:dyDescent="0.25">
      <c r="B282" s="686"/>
      <c r="C282" s="687"/>
      <c r="D282" s="467"/>
      <c r="E282" s="411" t="s">
        <v>157</v>
      </c>
      <c r="F282" s="411" t="s">
        <v>60</v>
      </c>
      <c r="G282" s="411" t="str">
        <f>+"Indexed rate ($/unit) "&amp;Summary!D14</f>
        <v>Indexed rate ($/unit) 45627</v>
      </c>
      <c r="H282" s="411" t="s">
        <v>599</v>
      </c>
      <c r="I282" s="411" t="s">
        <v>62</v>
      </c>
      <c r="J282" s="411" t="str">
        <f>+"Indexed rate ($/unit) "&amp;Summary!D14</f>
        <v>Indexed rate ($/unit) 45627</v>
      </c>
    </row>
    <row r="283" spans="2:13" x14ac:dyDescent="0.25">
      <c r="B283" s="426" t="s">
        <v>580</v>
      </c>
      <c r="C283" s="227"/>
      <c r="D283" s="18"/>
      <c r="E283" s="241" t="s">
        <v>588</v>
      </c>
      <c r="F283" s="15">
        <v>70</v>
      </c>
      <c r="G283" s="15">
        <f>+F283*Summary!$D$17/'Waiver 6'!$C$296</f>
        <v>70</v>
      </c>
      <c r="H283" s="437">
        <v>0.2</v>
      </c>
      <c r="I283" s="187">
        <v>10</v>
      </c>
      <c r="J283" s="15">
        <f>+I283*Summary!$D$17/'Waiver 6'!$C$296</f>
        <v>10</v>
      </c>
    </row>
    <row r="284" spans="2:13" x14ac:dyDescent="0.25">
      <c r="B284" s="421" t="s">
        <v>582</v>
      </c>
      <c r="C284" s="229"/>
      <c r="D284" s="19"/>
      <c r="E284" s="451" t="s">
        <v>588</v>
      </c>
      <c r="F284" s="16">
        <v>140</v>
      </c>
      <c r="G284" s="16">
        <f>+F284*Summary!$D$17/'Waiver 6'!$C$296</f>
        <v>140</v>
      </c>
      <c r="H284" s="438">
        <v>0.9</v>
      </c>
      <c r="I284" s="394">
        <v>10</v>
      </c>
      <c r="J284" s="16">
        <f>+I284*Summary!$D$17/'Waiver 6'!$C$296</f>
        <v>10</v>
      </c>
    </row>
    <row r="285" spans="2:13" x14ac:dyDescent="0.25">
      <c r="B285" s="421" t="s">
        <v>581</v>
      </c>
      <c r="C285" s="229"/>
      <c r="D285" s="19"/>
      <c r="E285" s="451" t="s">
        <v>588</v>
      </c>
      <c r="F285" s="16">
        <v>140</v>
      </c>
      <c r="G285" s="16">
        <f>+F285*Summary!$D$17/'Waiver 6'!$C$296</f>
        <v>140</v>
      </c>
      <c r="H285" s="438">
        <v>0.9</v>
      </c>
      <c r="I285" s="394">
        <v>10</v>
      </c>
      <c r="J285" s="16">
        <f>+I285*Summary!$D$17/'Waiver 6'!$C$296</f>
        <v>10</v>
      </c>
    </row>
    <row r="286" spans="2:13" x14ac:dyDescent="0.25">
      <c r="B286" s="421" t="s">
        <v>578</v>
      </c>
      <c r="C286" s="229"/>
      <c r="D286" s="19"/>
      <c r="E286" s="451" t="s">
        <v>588</v>
      </c>
      <c r="F286" s="16">
        <v>180</v>
      </c>
      <c r="G286" s="16">
        <f>+F286*Summary!$D$17/'Waiver 6'!$C$296</f>
        <v>180</v>
      </c>
      <c r="H286" s="438">
        <v>0.9</v>
      </c>
      <c r="I286" s="394">
        <v>10</v>
      </c>
      <c r="J286" s="16">
        <f>+I286*Summary!$D$17/'Waiver 6'!$C$296</f>
        <v>10</v>
      </c>
    </row>
    <row r="287" spans="2:13" x14ac:dyDescent="0.25">
      <c r="B287" s="421" t="s">
        <v>579</v>
      </c>
      <c r="C287" s="229"/>
      <c r="D287" s="19"/>
      <c r="E287" s="451" t="s">
        <v>588</v>
      </c>
      <c r="F287" s="16">
        <v>140</v>
      </c>
      <c r="G287" s="16">
        <f>+F287*Summary!$D$17/'Waiver 6'!$C$296</f>
        <v>140</v>
      </c>
      <c r="H287" s="438">
        <v>0.2</v>
      </c>
      <c r="I287" s="394">
        <v>10</v>
      </c>
      <c r="J287" s="16">
        <f>+I287*Summary!$D$17/'Waiver 6'!$C$296</f>
        <v>10</v>
      </c>
    </row>
    <row r="288" spans="2:13" x14ac:dyDescent="0.25">
      <c r="B288" s="421" t="s">
        <v>585</v>
      </c>
      <c r="C288" s="229"/>
      <c r="D288" s="19"/>
      <c r="E288" s="451" t="s">
        <v>588</v>
      </c>
      <c r="F288" s="16">
        <v>200</v>
      </c>
      <c r="G288" s="16">
        <f>+F288*Summary!$D$17/'Waiver 6'!$C$296</f>
        <v>200</v>
      </c>
      <c r="H288" s="438">
        <v>1</v>
      </c>
      <c r="I288" s="394">
        <v>10</v>
      </c>
      <c r="J288" s="16">
        <f>+I288*Summary!$D$17/'Waiver 6'!$C$296</f>
        <v>10</v>
      </c>
    </row>
    <row r="289" spans="2:10" x14ac:dyDescent="0.25">
      <c r="B289" s="421" t="s">
        <v>584</v>
      </c>
      <c r="C289" s="229"/>
      <c r="D289" s="19"/>
      <c r="E289" s="451" t="s">
        <v>588</v>
      </c>
      <c r="F289" s="16">
        <v>140</v>
      </c>
      <c r="G289" s="16">
        <f>+F289*Summary!$D$17/'Waiver 6'!$C$296</f>
        <v>140</v>
      </c>
      <c r="H289" s="438">
        <v>0</v>
      </c>
      <c r="I289" s="438">
        <v>0</v>
      </c>
      <c r="J289" s="16">
        <f>+I289*Summary!$D$17/'Waiver 6'!$C$296</f>
        <v>0</v>
      </c>
    </row>
    <row r="290" spans="2:10" x14ac:dyDescent="0.25">
      <c r="B290" s="421" t="s">
        <v>583</v>
      </c>
      <c r="C290" s="229"/>
      <c r="D290" s="19"/>
      <c r="E290" s="451" t="s">
        <v>588</v>
      </c>
      <c r="F290" s="16">
        <v>70</v>
      </c>
      <c r="G290" s="16">
        <f>+F290*Summary!$D$17/'Waiver 6'!$C$296</f>
        <v>70</v>
      </c>
      <c r="H290" s="438">
        <v>0.9</v>
      </c>
      <c r="I290" s="394">
        <v>10</v>
      </c>
      <c r="J290" s="16">
        <f>+I290*Summary!$D$17/'Waiver 6'!$C$296</f>
        <v>10</v>
      </c>
    </row>
    <row r="291" spans="2:10" x14ac:dyDescent="0.25">
      <c r="B291" s="421" t="s">
        <v>574</v>
      </c>
      <c r="C291" s="229" t="s">
        <v>590</v>
      </c>
      <c r="D291" s="19"/>
      <c r="E291" s="451" t="s">
        <v>588</v>
      </c>
      <c r="F291" s="16">
        <v>20</v>
      </c>
      <c r="G291" s="16">
        <f>+F291*Summary!$D$17/'Waiver 6'!$C$296</f>
        <v>20</v>
      </c>
      <c r="H291" s="438">
        <v>0</v>
      </c>
      <c r="I291" s="438">
        <v>0</v>
      </c>
      <c r="J291" s="16">
        <f>+I291*Summary!$D$17/'Waiver 6'!$C$296</f>
        <v>0</v>
      </c>
    </row>
    <row r="292" spans="2:10" x14ac:dyDescent="0.25">
      <c r="B292" s="421" t="s">
        <v>576</v>
      </c>
      <c r="C292" s="229"/>
      <c r="D292" s="19"/>
      <c r="E292" s="451" t="s">
        <v>588</v>
      </c>
      <c r="F292" s="16">
        <v>50</v>
      </c>
      <c r="G292" s="16">
        <f>+F292*Summary!$D$17/'Waiver 6'!$C$296</f>
        <v>50</v>
      </c>
      <c r="H292" s="438">
        <v>0.9</v>
      </c>
      <c r="I292" s="394">
        <v>10</v>
      </c>
      <c r="J292" s="16">
        <f>+I292*Summary!$D$17/'Waiver 6'!$C$296</f>
        <v>10</v>
      </c>
    </row>
    <row r="293" spans="2:10" x14ac:dyDescent="0.25">
      <c r="B293" s="421" t="s">
        <v>573</v>
      </c>
      <c r="C293" s="229"/>
      <c r="D293" s="19"/>
      <c r="E293" s="451" t="s">
        <v>588</v>
      </c>
      <c r="F293" s="16">
        <v>0</v>
      </c>
      <c r="G293" s="16">
        <f>+F293*Summary!$D$17/'Waiver 6'!$C$296</f>
        <v>0</v>
      </c>
      <c r="H293" s="438">
        <v>0</v>
      </c>
      <c r="I293" s="438">
        <v>0</v>
      </c>
      <c r="J293" s="16">
        <f>+I293*Summary!$D$17/'Waiver 6'!$C$296</f>
        <v>0</v>
      </c>
    </row>
    <row r="294" spans="2:10" x14ac:dyDescent="0.25">
      <c r="B294" s="421" t="s">
        <v>571</v>
      </c>
      <c r="C294" s="229"/>
      <c r="D294" s="19"/>
      <c r="E294" s="451" t="s">
        <v>588</v>
      </c>
      <c r="F294" s="16">
        <v>0</v>
      </c>
      <c r="G294" s="16">
        <f>+F294*Summary!$D$17/'Waiver 6'!$C$296</f>
        <v>0</v>
      </c>
      <c r="H294" s="438">
        <v>0</v>
      </c>
      <c r="I294" s="438">
        <v>0</v>
      </c>
      <c r="J294" s="16">
        <f>+I294*Summary!$D$17/'Waiver 6'!$C$296</f>
        <v>0</v>
      </c>
    </row>
    <row r="295" spans="2:10" x14ac:dyDescent="0.25">
      <c r="B295" s="422" t="s">
        <v>575</v>
      </c>
      <c r="C295" s="230"/>
      <c r="D295" s="20"/>
      <c r="E295" s="452" t="s">
        <v>596</v>
      </c>
      <c r="F295" s="439" t="s">
        <v>596</v>
      </c>
      <c r="G295" s="439" t="s">
        <v>596</v>
      </c>
      <c r="H295" s="440" t="s">
        <v>596</v>
      </c>
      <c r="I295" s="189">
        <v>10</v>
      </c>
      <c r="J295" s="439" t="s">
        <v>596</v>
      </c>
    </row>
    <row r="296" spans="2:10" x14ac:dyDescent="0.25">
      <c r="B296" s="61" t="s">
        <v>61</v>
      </c>
      <c r="C296" s="67">
        <f>Summary!D17</f>
        <v>141.1</v>
      </c>
      <c r="D296" s="61">
        <f>Summary!D14</f>
        <v>45627</v>
      </c>
      <c r="E296" s="104"/>
    </row>
    <row r="301" spans="2:10" x14ac:dyDescent="0.25">
      <c r="B301" s="61" t="s">
        <v>601</v>
      </c>
    </row>
    <row r="302" spans="2:10" ht="25.5" customHeight="1" x14ac:dyDescent="0.25">
      <c r="B302" s="684" t="s">
        <v>586</v>
      </c>
      <c r="C302" s="685"/>
      <c r="D302" s="688"/>
      <c r="E302" s="681" t="s">
        <v>597</v>
      </c>
      <c r="F302" s="682"/>
      <c r="G302" s="683"/>
    </row>
    <row r="303" spans="2:10" ht="26.4" x14ac:dyDescent="0.25">
      <c r="B303" s="689"/>
      <c r="C303" s="690"/>
      <c r="D303" s="691"/>
      <c r="E303" s="411" t="s">
        <v>157</v>
      </c>
      <c r="F303" s="411" t="s">
        <v>60</v>
      </c>
      <c r="G303" s="411" t="str">
        <f>+"Indexed rate ($/unit) "&amp;Summary!D14</f>
        <v>Indexed rate ($/unit) 45627</v>
      </c>
    </row>
    <row r="304" spans="2:10" x14ac:dyDescent="0.25">
      <c r="B304" s="426" t="s">
        <v>577</v>
      </c>
      <c r="C304" s="227"/>
      <c r="D304" s="18"/>
      <c r="E304" s="441" t="s">
        <v>607</v>
      </c>
      <c r="F304" s="15">
        <v>28000</v>
      </c>
      <c r="G304" s="15">
        <f>+F304/$C$308*Summary!$D$17</f>
        <v>28000</v>
      </c>
    </row>
    <row r="305" spans="2:7" x14ac:dyDescent="0.25">
      <c r="B305" s="421" t="s">
        <v>592</v>
      </c>
      <c r="C305" s="229"/>
      <c r="D305" s="19"/>
      <c r="E305" s="442" t="s">
        <v>416</v>
      </c>
      <c r="F305" s="16">
        <v>20000</v>
      </c>
      <c r="G305" s="16">
        <f>+F305/$C$308*Summary!$D$17</f>
        <v>20000</v>
      </c>
    </row>
    <row r="306" spans="2:7" x14ac:dyDescent="0.25">
      <c r="B306" s="421" t="s">
        <v>593</v>
      </c>
      <c r="C306" s="229"/>
      <c r="D306" s="19"/>
      <c r="E306" s="442" t="s">
        <v>416</v>
      </c>
      <c r="F306" s="16">
        <v>28000</v>
      </c>
      <c r="G306" s="16">
        <f>+F306/$C$308*Summary!$D$17</f>
        <v>28000</v>
      </c>
    </row>
    <row r="307" spans="2:7" x14ac:dyDescent="0.25">
      <c r="B307" s="422" t="s">
        <v>572</v>
      </c>
      <c r="C307" s="230"/>
      <c r="D307" s="20"/>
      <c r="E307" s="443" t="s">
        <v>607</v>
      </c>
      <c r="F307" s="17">
        <v>14000</v>
      </c>
      <c r="G307" s="17">
        <f>+F307/$C$308*Summary!$D$17</f>
        <v>14000</v>
      </c>
    </row>
    <row r="308" spans="2:7" x14ac:dyDescent="0.25">
      <c r="B308" s="61" t="s">
        <v>61</v>
      </c>
      <c r="C308" s="67">
        <f>+C296</f>
        <v>141.1</v>
      </c>
      <c r="D308" s="67"/>
    </row>
  </sheetData>
  <sheetProtection password="CDF4" sheet="1" objects="1" scenarios="1"/>
  <customSheetViews>
    <customSheetView guid="{27B7C317-A4C8-4AFE-A1B4-96A5038E57EE}" scale="75" showAutoFilter="1" showRuler="0">
      <selection activeCell="I44" sqref="I44"/>
      <pageMargins left="0.75" right="0.75" top="1" bottom="1" header="0.5" footer="0.5"/>
      <pageSetup paperSize="9" orientation="portrait" r:id="rId1"/>
      <headerFooter alignWithMargins="0"/>
      <autoFilter ref="B1:K1" xr:uid="{7CDB9D52-4909-41D6-AFD2-2148A6440E50}"/>
    </customSheetView>
  </customSheetViews>
  <mergeCells count="19">
    <mergeCell ref="H281:J281"/>
    <mergeCell ref="E302:G302"/>
    <mergeCell ref="B281:C282"/>
    <mergeCell ref="B302:D303"/>
    <mergeCell ref="E281:G281"/>
    <mergeCell ref="B97:E98"/>
    <mergeCell ref="F84:G85"/>
    <mergeCell ref="F38:G39"/>
    <mergeCell ref="H38:K38"/>
    <mergeCell ref="L38:P38"/>
    <mergeCell ref="F51:G52"/>
    <mergeCell ref="L84:P84"/>
    <mergeCell ref="F97:G98"/>
    <mergeCell ref="H97:K97"/>
    <mergeCell ref="H51:K51"/>
    <mergeCell ref="H84:K84"/>
    <mergeCell ref="B38:E39"/>
    <mergeCell ref="B51:E52"/>
    <mergeCell ref="B84:E85"/>
  </mergeCells>
  <phoneticPr fontId="4" type="noConversion"/>
  <pageMargins left="0.74803149606299213" right="0.19685039370078741" top="0.78740157480314965" bottom="3.937007874015748E-2" header="0.51181102362204722" footer="0.51181102362204722"/>
  <pageSetup paperSize="9" scale="34" orientation="portrait" blackAndWhite="1" r:id="rId2"/>
  <headerFooter alignWithMargins="0"/>
  <ignoredErrors>
    <ignoredError sqref="A81 A95 A127 A9 A16:A17 A26 A35:A36 A49 A6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7412" r:id="rId5" name="Check Box 4">
              <controlPr defaultSize="0" autoFill="0" autoLine="0" autoPict="0">
                <anchor moveWithCells="1" sizeWithCells="1">
                  <from>
                    <xdr:col>0</xdr:col>
                    <xdr:colOff>198120</xdr:colOff>
                    <xdr:row>9</xdr:row>
                    <xdr:rowOff>0</xdr:rowOff>
                  </from>
                  <to>
                    <xdr:col>15</xdr:col>
                    <xdr:colOff>160020</xdr:colOff>
                    <xdr:row>9</xdr:row>
                    <xdr:rowOff>182880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sizeWithCells="1">
                  <from>
                    <xdr:col>0</xdr:col>
                    <xdr:colOff>198120</xdr:colOff>
                    <xdr:row>10</xdr:row>
                    <xdr:rowOff>182880</xdr:rowOff>
                  </from>
                  <to>
                    <xdr:col>10</xdr:col>
                    <xdr:colOff>388620</xdr:colOff>
                    <xdr:row>11</xdr:row>
                    <xdr:rowOff>182880</xdr:rowOff>
                  </to>
                </anchor>
              </controlPr>
            </control>
          </mc:Choice>
        </mc:AlternateContent>
        <mc:AlternateContent xmlns:mc="http://schemas.openxmlformats.org/markup-compatibility/2006">
          <mc:Choice Requires="x14">
            <control shapeId="17415" r:id="rId7" name="Check Box 7">
              <controlPr defaultSize="0" autoFill="0" autoLine="0" autoPict="0">
                <anchor moveWithCells="1" sizeWithCells="1">
                  <from>
                    <xdr:col>0</xdr:col>
                    <xdr:colOff>213360</xdr:colOff>
                    <xdr:row>13</xdr:row>
                    <xdr:rowOff>7620</xdr:rowOff>
                  </from>
                  <to>
                    <xdr:col>10</xdr:col>
                    <xdr:colOff>403860</xdr:colOff>
                    <xdr:row>14</xdr:row>
                    <xdr:rowOff>22860</xdr:rowOff>
                  </to>
                </anchor>
              </controlPr>
            </control>
          </mc:Choice>
        </mc:AlternateContent>
        <mc:AlternateContent xmlns:mc="http://schemas.openxmlformats.org/markup-compatibility/2006">
          <mc:Choice Requires="x14">
            <control shapeId="17416" r:id="rId8" name="Check Box 8">
              <controlPr defaultSize="0" autoFill="0" autoLine="0" autoPict="0">
                <anchor moveWithCells="1" sizeWithCells="1">
                  <from>
                    <xdr:col>0</xdr:col>
                    <xdr:colOff>198120</xdr:colOff>
                    <xdr:row>9</xdr:row>
                    <xdr:rowOff>190500</xdr:rowOff>
                  </from>
                  <to>
                    <xdr:col>8</xdr:col>
                    <xdr:colOff>137160</xdr:colOff>
                    <xdr:row>10</xdr:row>
                    <xdr:rowOff>190500</xdr:rowOff>
                  </to>
                </anchor>
              </controlPr>
            </control>
          </mc:Choice>
        </mc:AlternateContent>
        <mc:AlternateContent xmlns:mc="http://schemas.openxmlformats.org/markup-compatibility/2006">
          <mc:Choice Requires="x14">
            <control shapeId="17447" r:id="rId9" name="Drop Down 39">
              <controlPr defaultSize="0" autoLine="0" autoPict="0">
                <anchor moveWithCells="1">
                  <from>
                    <xdr:col>1</xdr:col>
                    <xdr:colOff>0</xdr:colOff>
                    <xdr:row>39</xdr:row>
                    <xdr:rowOff>0</xdr:rowOff>
                  </from>
                  <to>
                    <xdr:col>5</xdr:col>
                    <xdr:colOff>7620</xdr:colOff>
                    <xdr:row>40</xdr:row>
                    <xdr:rowOff>22860</xdr:rowOff>
                  </to>
                </anchor>
              </controlPr>
            </control>
          </mc:Choice>
        </mc:AlternateContent>
        <mc:AlternateContent xmlns:mc="http://schemas.openxmlformats.org/markup-compatibility/2006">
          <mc:Choice Requires="x14">
            <control shapeId="17453" r:id="rId10" name="Drop Down 45">
              <controlPr defaultSize="0" autoLine="0" autoPict="0">
                <anchor moveWithCells="1">
                  <from>
                    <xdr:col>1</xdr:col>
                    <xdr:colOff>0</xdr:colOff>
                    <xdr:row>40</xdr:row>
                    <xdr:rowOff>7620</xdr:rowOff>
                  </from>
                  <to>
                    <xdr:col>5</xdr:col>
                    <xdr:colOff>7620</xdr:colOff>
                    <xdr:row>41</xdr:row>
                    <xdr:rowOff>22860</xdr:rowOff>
                  </to>
                </anchor>
              </controlPr>
            </control>
          </mc:Choice>
        </mc:AlternateContent>
        <mc:AlternateContent xmlns:mc="http://schemas.openxmlformats.org/markup-compatibility/2006">
          <mc:Choice Requires="x14">
            <control shapeId="17454" r:id="rId11" name="Drop Down 46">
              <controlPr defaultSize="0" autoLine="0" autoPict="0">
                <anchor moveWithCells="1">
                  <from>
                    <xdr:col>1</xdr:col>
                    <xdr:colOff>0</xdr:colOff>
                    <xdr:row>41</xdr:row>
                    <xdr:rowOff>7620</xdr:rowOff>
                  </from>
                  <to>
                    <xdr:col>5</xdr:col>
                    <xdr:colOff>7620</xdr:colOff>
                    <xdr:row>42</xdr:row>
                    <xdr:rowOff>7620</xdr:rowOff>
                  </to>
                </anchor>
              </controlPr>
            </control>
          </mc:Choice>
        </mc:AlternateContent>
        <mc:AlternateContent xmlns:mc="http://schemas.openxmlformats.org/markup-compatibility/2006">
          <mc:Choice Requires="x14">
            <control shapeId="17455" r:id="rId12" name="Drop Down 47">
              <controlPr defaultSize="0" autoLine="0" autoPict="0">
                <anchor moveWithCells="1">
                  <from>
                    <xdr:col>1</xdr:col>
                    <xdr:colOff>0</xdr:colOff>
                    <xdr:row>42</xdr:row>
                    <xdr:rowOff>0</xdr:rowOff>
                  </from>
                  <to>
                    <xdr:col>5</xdr:col>
                    <xdr:colOff>7620</xdr:colOff>
                    <xdr:row>43</xdr:row>
                    <xdr:rowOff>7620</xdr:rowOff>
                  </to>
                </anchor>
              </controlPr>
            </control>
          </mc:Choice>
        </mc:AlternateContent>
        <mc:AlternateContent xmlns:mc="http://schemas.openxmlformats.org/markup-compatibility/2006">
          <mc:Choice Requires="x14">
            <control shapeId="17456" r:id="rId13" name="Drop Down 48">
              <controlPr defaultSize="0" autoLine="0" autoPict="0">
                <anchor moveWithCells="1">
                  <from>
                    <xdr:col>1</xdr:col>
                    <xdr:colOff>0</xdr:colOff>
                    <xdr:row>43</xdr:row>
                    <xdr:rowOff>0</xdr:rowOff>
                  </from>
                  <to>
                    <xdr:col>5</xdr:col>
                    <xdr:colOff>7620</xdr:colOff>
                    <xdr:row>44</xdr:row>
                    <xdr:rowOff>7620</xdr:rowOff>
                  </to>
                </anchor>
              </controlPr>
            </control>
          </mc:Choice>
        </mc:AlternateContent>
        <mc:AlternateContent xmlns:mc="http://schemas.openxmlformats.org/markup-compatibility/2006">
          <mc:Choice Requires="x14">
            <control shapeId="17464" r:id="rId14" name="Drop Down 56">
              <controlPr defaultSize="0" autoLine="0" autoPict="0">
                <anchor moveWithCells="1">
                  <from>
                    <xdr:col>1</xdr:col>
                    <xdr:colOff>0</xdr:colOff>
                    <xdr:row>52</xdr:row>
                    <xdr:rowOff>0</xdr:rowOff>
                  </from>
                  <to>
                    <xdr:col>5</xdr:col>
                    <xdr:colOff>0</xdr:colOff>
                    <xdr:row>53</xdr:row>
                    <xdr:rowOff>7620</xdr:rowOff>
                  </to>
                </anchor>
              </controlPr>
            </control>
          </mc:Choice>
        </mc:AlternateContent>
        <mc:AlternateContent xmlns:mc="http://schemas.openxmlformats.org/markup-compatibility/2006">
          <mc:Choice Requires="x14">
            <control shapeId="17465" r:id="rId15" name="Drop Down 57">
              <controlPr defaultSize="0" autoLine="0" autoPict="0">
                <anchor moveWithCells="1">
                  <from>
                    <xdr:col>1</xdr:col>
                    <xdr:colOff>0</xdr:colOff>
                    <xdr:row>53</xdr:row>
                    <xdr:rowOff>7620</xdr:rowOff>
                  </from>
                  <to>
                    <xdr:col>5</xdr:col>
                    <xdr:colOff>0</xdr:colOff>
                    <xdr:row>54</xdr:row>
                    <xdr:rowOff>7620</xdr:rowOff>
                  </to>
                </anchor>
              </controlPr>
            </control>
          </mc:Choice>
        </mc:AlternateContent>
        <mc:AlternateContent xmlns:mc="http://schemas.openxmlformats.org/markup-compatibility/2006">
          <mc:Choice Requires="x14">
            <control shapeId="17466" r:id="rId16" name="Drop Down 58">
              <controlPr defaultSize="0" autoLine="0" autoPict="0">
                <anchor moveWithCells="1">
                  <from>
                    <xdr:col>1</xdr:col>
                    <xdr:colOff>0</xdr:colOff>
                    <xdr:row>54</xdr:row>
                    <xdr:rowOff>7620</xdr:rowOff>
                  </from>
                  <to>
                    <xdr:col>5</xdr:col>
                    <xdr:colOff>0</xdr:colOff>
                    <xdr:row>55</xdr:row>
                    <xdr:rowOff>7620</xdr:rowOff>
                  </to>
                </anchor>
              </controlPr>
            </control>
          </mc:Choice>
        </mc:AlternateContent>
        <mc:AlternateContent xmlns:mc="http://schemas.openxmlformats.org/markup-compatibility/2006">
          <mc:Choice Requires="x14">
            <control shapeId="17467" r:id="rId17" name="Drop Down 59">
              <controlPr defaultSize="0" autoLine="0" autoPict="0">
                <anchor moveWithCells="1">
                  <from>
                    <xdr:col>1</xdr:col>
                    <xdr:colOff>0</xdr:colOff>
                    <xdr:row>55</xdr:row>
                    <xdr:rowOff>0</xdr:rowOff>
                  </from>
                  <to>
                    <xdr:col>5</xdr:col>
                    <xdr:colOff>0</xdr:colOff>
                    <xdr:row>56</xdr:row>
                    <xdr:rowOff>7620</xdr:rowOff>
                  </to>
                </anchor>
              </controlPr>
            </control>
          </mc:Choice>
        </mc:AlternateContent>
        <mc:AlternateContent xmlns:mc="http://schemas.openxmlformats.org/markup-compatibility/2006">
          <mc:Choice Requires="x14">
            <control shapeId="17468" r:id="rId18" name="Drop Down 60">
              <controlPr locked="0" defaultSize="0" autoLine="0" autoPict="0">
                <anchor moveWithCells="1">
                  <from>
                    <xdr:col>1</xdr:col>
                    <xdr:colOff>0</xdr:colOff>
                    <xdr:row>56</xdr:row>
                    <xdr:rowOff>0</xdr:rowOff>
                  </from>
                  <to>
                    <xdr:col>3</xdr:col>
                    <xdr:colOff>213360</xdr:colOff>
                    <xdr:row>57</xdr:row>
                    <xdr:rowOff>7620</xdr:rowOff>
                  </to>
                </anchor>
              </controlPr>
            </control>
          </mc:Choice>
        </mc:AlternateContent>
        <mc:AlternateContent xmlns:mc="http://schemas.openxmlformats.org/markup-compatibility/2006">
          <mc:Choice Requires="x14">
            <control shapeId="17474" r:id="rId19" name="Drop Down 66">
              <controlPr defaultSize="0" autoLine="0" autoPict="0">
                <anchor moveWithCells="1">
                  <from>
                    <xdr:col>1</xdr:col>
                    <xdr:colOff>0</xdr:colOff>
                    <xdr:row>56</xdr:row>
                    <xdr:rowOff>0</xdr:rowOff>
                  </from>
                  <to>
                    <xdr:col>5</xdr:col>
                    <xdr:colOff>0</xdr:colOff>
                    <xdr:row>57</xdr:row>
                    <xdr:rowOff>7620</xdr:rowOff>
                  </to>
                </anchor>
              </controlPr>
            </control>
          </mc:Choice>
        </mc:AlternateContent>
        <mc:AlternateContent xmlns:mc="http://schemas.openxmlformats.org/markup-compatibility/2006">
          <mc:Choice Requires="x14">
            <control shapeId="17495" r:id="rId20" name="Drop Down 87">
              <controlPr defaultSize="0" autoLine="0" autoPict="0">
                <anchor moveWithCells="1">
                  <from>
                    <xdr:col>1</xdr:col>
                    <xdr:colOff>0</xdr:colOff>
                    <xdr:row>85</xdr:row>
                    <xdr:rowOff>0</xdr:rowOff>
                  </from>
                  <to>
                    <xdr:col>5</xdr:col>
                    <xdr:colOff>0</xdr:colOff>
                    <xdr:row>86</xdr:row>
                    <xdr:rowOff>22860</xdr:rowOff>
                  </to>
                </anchor>
              </controlPr>
            </control>
          </mc:Choice>
        </mc:AlternateContent>
        <mc:AlternateContent xmlns:mc="http://schemas.openxmlformats.org/markup-compatibility/2006">
          <mc:Choice Requires="x14">
            <control shapeId="17496" r:id="rId21" name="Drop Down 88">
              <controlPr defaultSize="0" autoLine="0" autoPict="0">
                <anchor moveWithCells="1">
                  <from>
                    <xdr:col>1</xdr:col>
                    <xdr:colOff>0</xdr:colOff>
                    <xdr:row>86</xdr:row>
                    <xdr:rowOff>7620</xdr:rowOff>
                  </from>
                  <to>
                    <xdr:col>5</xdr:col>
                    <xdr:colOff>0</xdr:colOff>
                    <xdr:row>87</xdr:row>
                    <xdr:rowOff>30480</xdr:rowOff>
                  </to>
                </anchor>
              </controlPr>
            </control>
          </mc:Choice>
        </mc:AlternateContent>
        <mc:AlternateContent xmlns:mc="http://schemas.openxmlformats.org/markup-compatibility/2006">
          <mc:Choice Requires="x14">
            <control shapeId="17497" r:id="rId22" name="Drop Down 89">
              <controlPr defaultSize="0" autoLine="0" autoPict="0">
                <anchor moveWithCells="1">
                  <from>
                    <xdr:col>1</xdr:col>
                    <xdr:colOff>0</xdr:colOff>
                    <xdr:row>87</xdr:row>
                    <xdr:rowOff>0</xdr:rowOff>
                  </from>
                  <to>
                    <xdr:col>5</xdr:col>
                    <xdr:colOff>0</xdr:colOff>
                    <xdr:row>88</xdr:row>
                    <xdr:rowOff>7620</xdr:rowOff>
                  </to>
                </anchor>
              </controlPr>
            </control>
          </mc:Choice>
        </mc:AlternateContent>
        <mc:AlternateContent xmlns:mc="http://schemas.openxmlformats.org/markup-compatibility/2006">
          <mc:Choice Requires="x14">
            <control shapeId="17498" r:id="rId23" name="Drop Down 90">
              <controlPr defaultSize="0" autoLine="0" autoPict="0">
                <anchor moveWithCells="1">
                  <from>
                    <xdr:col>1</xdr:col>
                    <xdr:colOff>0</xdr:colOff>
                    <xdr:row>88</xdr:row>
                    <xdr:rowOff>0</xdr:rowOff>
                  </from>
                  <to>
                    <xdr:col>5</xdr:col>
                    <xdr:colOff>0</xdr:colOff>
                    <xdr:row>89</xdr:row>
                    <xdr:rowOff>7620</xdr:rowOff>
                  </to>
                </anchor>
              </controlPr>
            </control>
          </mc:Choice>
        </mc:AlternateContent>
        <mc:AlternateContent xmlns:mc="http://schemas.openxmlformats.org/markup-compatibility/2006">
          <mc:Choice Requires="x14">
            <control shapeId="17499" r:id="rId24" name="Drop Down 91">
              <controlPr defaultSize="0" autoLine="0" autoPict="0">
                <anchor moveWithCells="1">
                  <from>
                    <xdr:col>1</xdr:col>
                    <xdr:colOff>0</xdr:colOff>
                    <xdr:row>89</xdr:row>
                    <xdr:rowOff>0</xdr:rowOff>
                  </from>
                  <to>
                    <xdr:col>5</xdr:col>
                    <xdr:colOff>0</xdr:colOff>
                    <xdr:row>90</xdr:row>
                    <xdr:rowOff>7620</xdr:rowOff>
                  </to>
                </anchor>
              </controlPr>
            </control>
          </mc:Choice>
        </mc:AlternateContent>
        <mc:AlternateContent xmlns:mc="http://schemas.openxmlformats.org/markup-compatibility/2006">
          <mc:Choice Requires="x14">
            <control shapeId="17500" r:id="rId25" name="Drop Down 92">
              <controlPr defaultSize="0" autoLine="0" autoPict="0">
                <anchor moveWithCells="1">
                  <from>
                    <xdr:col>1</xdr:col>
                    <xdr:colOff>0</xdr:colOff>
                    <xdr:row>98</xdr:row>
                    <xdr:rowOff>7620</xdr:rowOff>
                  </from>
                  <to>
                    <xdr:col>5</xdr:col>
                    <xdr:colOff>0</xdr:colOff>
                    <xdr:row>99</xdr:row>
                    <xdr:rowOff>22860</xdr:rowOff>
                  </to>
                </anchor>
              </controlPr>
            </control>
          </mc:Choice>
        </mc:AlternateContent>
        <mc:AlternateContent xmlns:mc="http://schemas.openxmlformats.org/markup-compatibility/2006">
          <mc:Choice Requires="x14">
            <control shapeId="17501" r:id="rId26" name="Drop Down 93">
              <controlPr defaultSize="0" autoLine="0" autoPict="0">
                <anchor moveWithCells="1">
                  <from>
                    <xdr:col>1</xdr:col>
                    <xdr:colOff>0</xdr:colOff>
                    <xdr:row>99</xdr:row>
                    <xdr:rowOff>22860</xdr:rowOff>
                  </from>
                  <to>
                    <xdr:col>5</xdr:col>
                    <xdr:colOff>7620</xdr:colOff>
                    <xdr:row>100</xdr:row>
                    <xdr:rowOff>30480</xdr:rowOff>
                  </to>
                </anchor>
              </controlPr>
            </control>
          </mc:Choice>
        </mc:AlternateContent>
        <mc:AlternateContent xmlns:mc="http://schemas.openxmlformats.org/markup-compatibility/2006">
          <mc:Choice Requires="x14">
            <control shapeId="17502" r:id="rId27" name="Drop Down 94">
              <controlPr defaultSize="0" autoLine="0" autoPict="0">
                <anchor moveWithCells="1">
                  <from>
                    <xdr:col>1</xdr:col>
                    <xdr:colOff>0</xdr:colOff>
                    <xdr:row>100</xdr:row>
                    <xdr:rowOff>0</xdr:rowOff>
                  </from>
                  <to>
                    <xdr:col>5</xdr:col>
                    <xdr:colOff>7620</xdr:colOff>
                    <xdr:row>101</xdr:row>
                    <xdr:rowOff>7620</xdr:rowOff>
                  </to>
                </anchor>
              </controlPr>
            </control>
          </mc:Choice>
        </mc:AlternateContent>
        <mc:AlternateContent xmlns:mc="http://schemas.openxmlformats.org/markup-compatibility/2006">
          <mc:Choice Requires="x14">
            <control shapeId="17503" r:id="rId28" name="Drop Down 95">
              <controlPr defaultSize="0" autoLine="0" autoPict="0">
                <anchor moveWithCells="1">
                  <from>
                    <xdr:col>1</xdr:col>
                    <xdr:colOff>0</xdr:colOff>
                    <xdr:row>101</xdr:row>
                    <xdr:rowOff>0</xdr:rowOff>
                  </from>
                  <to>
                    <xdr:col>5</xdr:col>
                    <xdr:colOff>7620</xdr:colOff>
                    <xdr:row>102</xdr:row>
                    <xdr:rowOff>7620</xdr:rowOff>
                  </to>
                </anchor>
              </controlPr>
            </control>
          </mc:Choice>
        </mc:AlternateContent>
        <mc:AlternateContent xmlns:mc="http://schemas.openxmlformats.org/markup-compatibility/2006">
          <mc:Choice Requires="x14">
            <control shapeId="17504" r:id="rId29" name="Drop Down 96">
              <controlPr locked="0" defaultSize="0" autoLine="0" autoPict="0">
                <anchor moveWithCells="1">
                  <from>
                    <xdr:col>1</xdr:col>
                    <xdr:colOff>0</xdr:colOff>
                    <xdr:row>102</xdr:row>
                    <xdr:rowOff>0</xdr:rowOff>
                  </from>
                  <to>
                    <xdr:col>3</xdr:col>
                    <xdr:colOff>213360</xdr:colOff>
                    <xdr:row>103</xdr:row>
                    <xdr:rowOff>7620</xdr:rowOff>
                  </to>
                </anchor>
              </controlPr>
            </control>
          </mc:Choice>
        </mc:AlternateContent>
        <mc:AlternateContent xmlns:mc="http://schemas.openxmlformats.org/markup-compatibility/2006">
          <mc:Choice Requires="x14">
            <control shapeId="17505" r:id="rId30" name="Drop Down 97">
              <controlPr defaultSize="0" autoLine="0" autoPict="0">
                <anchor moveWithCells="1">
                  <from>
                    <xdr:col>1</xdr:col>
                    <xdr:colOff>0</xdr:colOff>
                    <xdr:row>102</xdr:row>
                    <xdr:rowOff>0</xdr:rowOff>
                  </from>
                  <to>
                    <xdr:col>5</xdr:col>
                    <xdr:colOff>7620</xdr:colOff>
                    <xdr:row>103</xdr:row>
                    <xdr:rowOff>7620</xdr:rowOff>
                  </to>
                </anchor>
              </controlPr>
            </control>
          </mc:Choice>
        </mc:AlternateContent>
        <mc:AlternateContent xmlns:mc="http://schemas.openxmlformats.org/markup-compatibility/2006">
          <mc:Choice Requires="x14">
            <control shapeId="17514" r:id="rId31" name="Check Box 106">
              <controlPr defaultSize="0" autoFill="0" autoLine="0" autoPict="0">
                <anchor moveWithCells="1">
                  <from>
                    <xdr:col>0</xdr:col>
                    <xdr:colOff>198120</xdr:colOff>
                    <xdr:row>11</xdr:row>
                    <xdr:rowOff>190500</xdr:rowOff>
                  </from>
                  <to>
                    <xdr:col>9</xdr:col>
                    <xdr:colOff>304800</xdr:colOff>
                    <xdr:row>13</xdr:row>
                    <xdr:rowOff>7620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P64"/>
  <sheetViews>
    <sheetView showGridLines="0" zoomScale="130" zoomScaleNormal="130" workbookViewId="0">
      <pane ySplit="1" topLeftCell="A41" activePane="bottomLeft" state="frozen"/>
      <selection pane="bottomLeft" activeCell="D63" sqref="D63:P63"/>
    </sheetView>
  </sheetViews>
  <sheetFormatPr defaultColWidth="9.109375" defaultRowHeight="13.2" x14ac:dyDescent="0.25"/>
  <cols>
    <col min="1" max="1" width="8.5546875" style="61" customWidth="1"/>
    <col min="2" max="2" width="11.5546875" style="61" customWidth="1"/>
    <col min="3" max="3" width="11.44140625" style="61" customWidth="1"/>
    <col min="4" max="16384" width="9.109375" style="61"/>
  </cols>
  <sheetData>
    <row r="1" spans="1:16" ht="47.25" customHeight="1" x14ac:dyDescent="0.25">
      <c r="A1" s="59" t="s">
        <v>310</v>
      </c>
      <c r="B1" s="60" t="s">
        <v>311</v>
      </c>
      <c r="C1" s="60" t="s">
        <v>312</v>
      </c>
      <c r="D1" s="629" t="s">
        <v>313</v>
      </c>
      <c r="E1" s="627"/>
      <c r="F1" s="627"/>
      <c r="G1" s="627"/>
      <c r="H1" s="627"/>
      <c r="I1" s="627"/>
      <c r="J1" s="627"/>
      <c r="K1" s="627"/>
      <c r="L1" s="627"/>
      <c r="M1" s="627"/>
      <c r="N1" s="627"/>
      <c r="O1" s="627"/>
      <c r="P1" s="628"/>
    </row>
    <row r="2" spans="1:16" x14ac:dyDescent="0.25">
      <c r="A2" s="274">
        <v>5</v>
      </c>
      <c r="B2" s="269">
        <v>39383</v>
      </c>
      <c r="C2" s="269">
        <v>39383</v>
      </c>
      <c r="D2" s="701" t="s">
        <v>439</v>
      </c>
      <c r="E2" s="702"/>
      <c r="F2" s="702"/>
      <c r="G2" s="702"/>
      <c r="H2" s="702"/>
      <c r="I2" s="702"/>
      <c r="J2" s="702"/>
      <c r="K2" s="702"/>
      <c r="L2" s="702"/>
      <c r="M2" s="702"/>
      <c r="N2" s="702"/>
      <c r="O2" s="702"/>
      <c r="P2" s="703"/>
    </row>
    <row r="3" spans="1:16" ht="30" customHeight="1" x14ac:dyDescent="0.25">
      <c r="A3" s="270">
        <v>5.0999999999999996</v>
      </c>
      <c r="B3" s="269">
        <v>40282</v>
      </c>
      <c r="C3" s="269"/>
      <c r="D3" s="704" t="s">
        <v>543</v>
      </c>
      <c r="E3" s="704"/>
      <c r="F3" s="704"/>
      <c r="G3" s="704"/>
      <c r="H3" s="704"/>
      <c r="I3" s="704"/>
      <c r="J3" s="704"/>
      <c r="K3" s="704"/>
      <c r="L3" s="704"/>
      <c r="M3" s="704"/>
      <c r="N3" s="704"/>
      <c r="O3" s="704"/>
      <c r="P3" s="704"/>
    </row>
    <row r="4" spans="1:16" x14ac:dyDescent="0.25">
      <c r="A4" s="270">
        <v>5.2</v>
      </c>
      <c r="B4" s="269">
        <v>40311</v>
      </c>
      <c r="C4" s="270"/>
      <c r="D4" s="698" t="s">
        <v>546</v>
      </c>
      <c r="E4" s="699"/>
      <c r="F4" s="699"/>
      <c r="G4" s="699"/>
      <c r="H4" s="699"/>
      <c r="I4" s="699"/>
      <c r="J4" s="699"/>
      <c r="K4" s="699"/>
      <c r="L4" s="699"/>
      <c r="M4" s="699"/>
      <c r="N4" s="699"/>
      <c r="O4" s="699"/>
      <c r="P4" s="699"/>
    </row>
    <row r="5" spans="1:16" x14ac:dyDescent="0.25">
      <c r="A5" s="270">
        <v>5.3</v>
      </c>
      <c r="B5" s="269">
        <v>40375</v>
      </c>
      <c r="C5" s="270"/>
      <c r="D5" s="698" t="s">
        <v>552</v>
      </c>
      <c r="E5" s="699"/>
      <c r="F5" s="699"/>
      <c r="G5" s="699"/>
      <c r="H5" s="699"/>
      <c r="I5" s="699"/>
      <c r="J5" s="699"/>
      <c r="K5" s="699"/>
      <c r="L5" s="699"/>
      <c r="M5" s="699"/>
      <c r="N5" s="699"/>
      <c r="O5" s="699"/>
      <c r="P5" s="699"/>
    </row>
    <row r="6" spans="1:16" x14ac:dyDescent="0.25">
      <c r="A6" s="270">
        <v>5.4</v>
      </c>
      <c r="B6" s="269">
        <v>40379</v>
      </c>
      <c r="C6" s="270"/>
      <c r="D6" s="698" t="s">
        <v>553</v>
      </c>
      <c r="E6" s="699"/>
      <c r="F6" s="699"/>
      <c r="G6" s="699"/>
      <c r="H6" s="699"/>
      <c r="I6" s="699"/>
      <c r="J6" s="699"/>
      <c r="K6" s="699"/>
      <c r="L6" s="699"/>
      <c r="M6" s="699"/>
      <c r="N6" s="699"/>
      <c r="O6" s="699"/>
      <c r="P6" s="699"/>
    </row>
    <row r="7" spans="1:16" x14ac:dyDescent="0.25">
      <c r="A7" s="270">
        <v>5.5</v>
      </c>
      <c r="B7" s="269">
        <v>40388</v>
      </c>
      <c r="C7" s="270"/>
      <c r="D7" s="698" t="s">
        <v>555</v>
      </c>
      <c r="E7" s="699"/>
      <c r="F7" s="699"/>
      <c r="G7" s="699"/>
      <c r="H7" s="699"/>
      <c r="I7" s="699"/>
      <c r="J7" s="699"/>
      <c r="K7" s="699"/>
      <c r="L7" s="699"/>
      <c r="M7" s="699"/>
      <c r="N7" s="699"/>
      <c r="O7" s="699"/>
      <c r="P7" s="699"/>
    </row>
    <row r="8" spans="1:16" x14ac:dyDescent="0.25">
      <c r="A8" s="270">
        <v>5.6</v>
      </c>
      <c r="B8" s="269">
        <v>40389</v>
      </c>
      <c r="C8" s="270"/>
      <c r="D8" s="698" t="s">
        <v>556</v>
      </c>
      <c r="E8" s="699"/>
      <c r="F8" s="699"/>
      <c r="G8" s="699"/>
      <c r="H8" s="699"/>
      <c r="I8" s="699"/>
      <c r="J8" s="699"/>
      <c r="K8" s="699"/>
      <c r="L8" s="699"/>
      <c r="M8" s="699"/>
      <c r="N8" s="699"/>
      <c r="O8" s="699"/>
      <c r="P8" s="699"/>
    </row>
    <row r="9" spans="1:16" x14ac:dyDescent="0.25">
      <c r="A9" s="270">
        <v>5.7</v>
      </c>
      <c r="B9" s="269">
        <v>40414</v>
      </c>
      <c r="C9" s="270"/>
      <c r="D9" s="698" t="s">
        <v>557</v>
      </c>
      <c r="E9" s="699"/>
      <c r="F9" s="699"/>
      <c r="G9" s="699"/>
      <c r="H9" s="699"/>
      <c r="I9" s="699"/>
      <c r="J9" s="699"/>
      <c r="K9" s="699"/>
      <c r="L9" s="699"/>
      <c r="M9" s="699"/>
      <c r="N9" s="699"/>
      <c r="O9" s="699"/>
      <c r="P9" s="699"/>
    </row>
    <row r="10" spans="1:16" x14ac:dyDescent="0.25">
      <c r="A10" s="270">
        <v>5.8</v>
      </c>
      <c r="B10" s="269">
        <v>40459</v>
      </c>
      <c r="C10" s="270"/>
      <c r="D10" s="698" t="s">
        <v>670</v>
      </c>
      <c r="E10" s="699"/>
      <c r="F10" s="699"/>
      <c r="G10" s="699"/>
      <c r="H10" s="699"/>
      <c r="I10" s="699"/>
      <c r="J10" s="699"/>
      <c r="K10" s="699"/>
      <c r="L10" s="699"/>
      <c r="M10" s="699"/>
      <c r="N10" s="699"/>
      <c r="O10" s="699"/>
      <c r="P10" s="699"/>
    </row>
    <row r="11" spans="1:16" x14ac:dyDescent="0.25">
      <c r="A11" s="270">
        <v>5.9</v>
      </c>
      <c r="B11" s="269">
        <v>40492</v>
      </c>
      <c r="C11" s="270"/>
      <c r="D11" s="698" t="s">
        <v>569</v>
      </c>
      <c r="E11" s="699"/>
      <c r="F11" s="699"/>
      <c r="G11" s="699"/>
      <c r="H11" s="699"/>
      <c r="I11" s="699"/>
      <c r="J11" s="699"/>
      <c r="K11" s="699"/>
      <c r="L11" s="699"/>
      <c r="M11" s="699"/>
      <c r="N11" s="699"/>
      <c r="O11" s="699"/>
      <c r="P11" s="699"/>
    </row>
    <row r="12" spans="1:16" x14ac:dyDescent="0.25">
      <c r="A12" s="483">
        <v>5.0999999999999996</v>
      </c>
      <c r="B12" s="269">
        <v>40664</v>
      </c>
      <c r="C12" s="270"/>
      <c r="D12" s="698" t="s">
        <v>669</v>
      </c>
      <c r="E12" s="699"/>
      <c r="F12" s="699"/>
      <c r="G12" s="699"/>
      <c r="H12" s="699"/>
      <c r="I12" s="699"/>
      <c r="J12" s="699"/>
      <c r="K12" s="699"/>
      <c r="L12" s="699"/>
      <c r="M12" s="699"/>
      <c r="N12" s="699"/>
      <c r="O12" s="699"/>
      <c r="P12" s="699"/>
    </row>
    <row r="13" spans="1:16" x14ac:dyDescent="0.25">
      <c r="A13" s="270">
        <v>5.1100000000000003</v>
      </c>
      <c r="B13" s="269">
        <v>40743</v>
      </c>
      <c r="C13" s="270"/>
      <c r="D13" s="698" t="s">
        <v>671</v>
      </c>
      <c r="E13" s="699"/>
      <c r="F13" s="699"/>
      <c r="G13" s="699"/>
      <c r="H13" s="699"/>
      <c r="I13" s="699"/>
      <c r="J13" s="699"/>
      <c r="K13" s="699"/>
      <c r="L13" s="699"/>
      <c r="M13" s="699"/>
      <c r="N13" s="699"/>
      <c r="O13" s="699"/>
      <c r="P13" s="699"/>
    </row>
    <row r="14" spans="1:16" x14ac:dyDescent="0.25">
      <c r="A14" s="484">
        <v>5.12</v>
      </c>
      <c r="B14" s="269">
        <v>40794</v>
      </c>
      <c r="C14" s="270"/>
      <c r="D14" s="698" t="s">
        <v>672</v>
      </c>
      <c r="E14" s="699"/>
      <c r="F14" s="699"/>
      <c r="G14" s="699"/>
      <c r="H14" s="699"/>
      <c r="I14" s="699"/>
      <c r="J14" s="699"/>
      <c r="K14" s="699"/>
      <c r="L14" s="699"/>
      <c r="M14" s="699"/>
      <c r="N14" s="699"/>
      <c r="O14" s="699"/>
      <c r="P14" s="699"/>
    </row>
    <row r="15" spans="1:16" ht="31.5" customHeight="1" x14ac:dyDescent="0.25">
      <c r="A15" s="270">
        <v>5.13</v>
      </c>
      <c r="B15" s="269">
        <v>40909</v>
      </c>
      <c r="C15" s="270"/>
      <c r="D15" s="698" t="s">
        <v>687</v>
      </c>
      <c r="E15" s="699"/>
      <c r="F15" s="699"/>
      <c r="G15" s="699"/>
      <c r="H15" s="699"/>
      <c r="I15" s="699"/>
      <c r="J15" s="699"/>
      <c r="K15" s="699"/>
      <c r="L15" s="699"/>
      <c r="M15" s="699"/>
      <c r="N15" s="699"/>
      <c r="O15" s="699"/>
      <c r="P15" s="699"/>
    </row>
    <row r="16" spans="1:16" ht="30.75" customHeight="1" x14ac:dyDescent="0.25">
      <c r="A16" s="270">
        <v>5.14</v>
      </c>
      <c r="B16" s="269">
        <v>41000</v>
      </c>
      <c r="C16" s="270"/>
      <c r="D16" s="698" t="s">
        <v>689</v>
      </c>
      <c r="E16" s="699"/>
      <c r="F16" s="699"/>
      <c r="G16" s="699"/>
      <c r="H16" s="699"/>
      <c r="I16" s="699"/>
      <c r="J16" s="699"/>
      <c r="K16" s="699"/>
      <c r="L16" s="699"/>
      <c r="M16" s="699"/>
      <c r="N16" s="699"/>
      <c r="O16" s="699"/>
      <c r="P16" s="699"/>
    </row>
    <row r="17" spans="1:16" x14ac:dyDescent="0.25">
      <c r="A17" s="270">
        <v>5.15</v>
      </c>
      <c r="B17" s="269">
        <v>41091</v>
      </c>
      <c r="C17" s="270"/>
      <c r="D17" s="698" t="s">
        <v>692</v>
      </c>
      <c r="E17" s="699"/>
      <c r="F17" s="699"/>
      <c r="G17" s="699"/>
      <c r="H17" s="699"/>
      <c r="I17" s="699"/>
      <c r="J17" s="699"/>
      <c r="K17" s="699"/>
      <c r="L17" s="699"/>
      <c r="M17" s="699"/>
      <c r="N17" s="699"/>
      <c r="O17" s="699"/>
      <c r="P17" s="699"/>
    </row>
    <row r="18" spans="1:16" x14ac:dyDescent="0.25">
      <c r="A18" s="270">
        <v>5.16</v>
      </c>
      <c r="B18" s="269">
        <v>41120</v>
      </c>
      <c r="C18" s="270"/>
      <c r="D18" s="698" t="s">
        <v>693</v>
      </c>
      <c r="E18" s="699"/>
      <c r="F18" s="699"/>
      <c r="G18" s="699"/>
      <c r="H18" s="699"/>
      <c r="I18" s="699"/>
      <c r="J18" s="699"/>
      <c r="K18" s="699"/>
      <c r="L18" s="699"/>
      <c r="M18" s="699"/>
      <c r="N18" s="699"/>
      <c r="O18" s="699"/>
      <c r="P18" s="699"/>
    </row>
    <row r="19" spans="1:16" x14ac:dyDescent="0.25">
      <c r="A19" s="270">
        <v>5.17</v>
      </c>
      <c r="B19" s="269">
        <v>41183</v>
      </c>
      <c r="C19" s="270"/>
      <c r="D19" s="698" t="s">
        <v>694</v>
      </c>
      <c r="E19" s="699"/>
      <c r="F19" s="699"/>
      <c r="G19" s="699"/>
      <c r="H19" s="699"/>
      <c r="I19" s="699"/>
      <c r="J19" s="699"/>
      <c r="K19" s="699"/>
      <c r="L19" s="699"/>
      <c r="M19" s="699"/>
      <c r="N19" s="699"/>
      <c r="O19" s="699"/>
      <c r="P19" s="699"/>
    </row>
    <row r="20" spans="1:16" x14ac:dyDescent="0.25">
      <c r="A20" s="270">
        <v>5.18</v>
      </c>
      <c r="B20" s="269">
        <v>41275</v>
      </c>
      <c r="C20" s="270"/>
      <c r="D20" s="700" t="s">
        <v>695</v>
      </c>
      <c r="E20" s="699"/>
      <c r="F20" s="699"/>
      <c r="G20" s="699"/>
      <c r="H20" s="699"/>
      <c r="I20" s="699"/>
      <c r="J20" s="699"/>
      <c r="K20" s="699"/>
      <c r="L20" s="699"/>
      <c r="M20" s="699"/>
      <c r="N20" s="699"/>
      <c r="O20" s="699"/>
      <c r="P20" s="699"/>
    </row>
    <row r="21" spans="1:16" x14ac:dyDescent="0.25">
      <c r="A21" s="270">
        <v>5.19</v>
      </c>
      <c r="B21" s="269">
        <v>41365</v>
      </c>
      <c r="C21" s="270"/>
      <c r="D21" s="700" t="s">
        <v>696</v>
      </c>
      <c r="E21" s="699"/>
      <c r="F21" s="699"/>
      <c r="G21" s="699"/>
      <c r="H21" s="699"/>
      <c r="I21" s="699"/>
      <c r="J21" s="699"/>
      <c r="K21" s="699"/>
      <c r="L21" s="699"/>
      <c r="M21" s="699"/>
      <c r="N21" s="699"/>
      <c r="O21" s="699"/>
      <c r="P21" s="699"/>
    </row>
    <row r="22" spans="1:16" x14ac:dyDescent="0.25">
      <c r="A22" s="484">
        <v>5.2</v>
      </c>
      <c r="B22" s="269">
        <v>41456</v>
      </c>
      <c r="C22" s="270"/>
      <c r="D22" s="700" t="s">
        <v>697</v>
      </c>
      <c r="E22" s="699"/>
      <c r="F22" s="699"/>
      <c r="G22" s="699"/>
      <c r="H22" s="699"/>
      <c r="I22" s="699"/>
      <c r="J22" s="699"/>
      <c r="K22" s="699"/>
      <c r="L22" s="699"/>
      <c r="M22" s="699"/>
      <c r="N22" s="699"/>
      <c r="O22" s="699"/>
      <c r="P22" s="699"/>
    </row>
    <row r="23" spans="1:16" x14ac:dyDescent="0.25">
      <c r="A23" s="270">
        <v>5.21</v>
      </c>
      <c r="B23" s="509">
        <v>41548</v>
      </c>
      <c r="C23" s="510"/>
      <c r="D23" s="696" t="s">
        <v>699</v>
      </c>
      <c r="E23" s="697"/>
      <c r="F23" s="697"/>
      <c r="G23" s="697"/>
      <c r="H23" s="697"/>
      <c r="I23" s="697"/>
      <c r="J23" s="697"/>
      <c r="K23" s="697"/>
      <c r="L23" s="697"/>
      <c r="M23" s="697"/>
      <c r="N23" s="697"/>
      <c r="O23" s="697"/>
      <c r="P23" s="697"/>
    </row>
    <row r="24" spans="1:16" x14ac:dyDescent="0.25">
      <c r="A24" s="270">
        <v>5.22</v>
      </c>
      <c r="B24" s="511">
        <v>41640</v>
      </c>
      <c r="C24" s="512"/>
      <c r="D24" s="694" t="s">
        <v>698</v>
      </c>
      <c r="E24" s="695"/>
      <c r="F24" s="695"/>
      <c r="G24" s="695"/>
      <c r="H24" s="695"/>
      <c r="I24" s="695"/>
      <c r="J24" s="695"/>
      <c r="K24" s="695"/>
      <c r="L24" s="695"/>
      <c r="M24" s="695"/>
      <c r="N24" s="695"/>
      <c r="O24" s="695"/>
      <c r="P24" s="695"/>
    </row>
    <row r="25" spans="1:16" x14ac:dyDescent="0.25">
      <c r="A25" s="270">
        <v>5.23</v>
      </c>
      <c r="B25" s="511">
        <v>41758</v>
      </c>
      <c r="C25" s="512"/>
      <c r="D25" s="694" t="s">
        <v>700</v>
      </c>
      <c r="E25" s="695"/>
      <c r="F25" s="695"/>
      <c r="G25" s="695"/>
      <c r="H25" s="695"/>
      <c r="I25" s="695"/>
      <c r="J25" s="695"/>
      <c r="K25" s="695"/>
      <c r="L25" s="695"/>
      <c r="M25" s="695"/>
      <c r="N25" s="695"/>
      <c r="O25" s="695"/>
      <c r="P25" s="695"/>
    </row>
    <row r="26" spans="1:16" ht="12.75" customHeight="1" x14ac:dyDescent="0.25">
      <c r="A26" s="270">
        <v>5.24</v>
      </c>
      <c r="B26" s="514">
        <v>41821</v>
      </c>
      <c r="C26" s="515"/>
      <c r="D26" s="706" t="s">
        <v>702</v>
      </c>
      <c r="E26" s="707"/>
      <c r="F26" s="707"/>
      <c r="G26" s="707"/>
      <c r="H26" s="707"/>
      <c r="I26" s="707"/>
      <c r="J26" s="707"/>
      <c r="K26" s="707"/>
      <c r="L26" s="707"/>
      <c r="M26" s="707"/>
      <c r="N26" s="707"/>
      <c r="O26" s="707"/>
      <c r="P26" s="707"/>
    </row>
    <row r="27" spans="1:16" x14ac:dyDescent="0.25">
      <c r="A27" s="270">
        <v>5.25</v>
      </c>
      <c r="B27" s="269">
        <v>41913</v>
      </c>
      <c r="C27" s="270"/>
      <c r="D27" s="692" t="s">
        <v>701</v>
      </c>
      <c r="E27" s="693"/>
      <c r="F27" s="693"/>
      <c r="G27" s="693"/>
      <c r="H27" s="693"/>
      <c r="I27" s="693"/>
      <c r="J27" s="693"/>
      <c r="K27" s="693"/>
      <c r="L27" s="693"/>
      <c r="M27" s="693"/>
      <c r="N27" s="693"/>
      <c r="O27" s="693"/>
      <c r="P27" s="693"/>
    </row>
    <row r="28" spans="1:16" x14ac:dyDescent="0.25">
      <c r="A28" s="270">
        <v>5.26</v>
      </c>
      <c r="B28" s="511">
        <v>42009</v>
      </c>
      <c r="C28" s="512"/>
      <c r="D28" s="694" t="s">
        <v>703</v>
      </c>
      <c r="E28" s="695"/>
      <c r="F28" s="695"/>
      <c r="G28" s="695"/>
      <c r="H28" s="695"/>
      <c r="I28" s="695"/>
      <c r="J28" s="695"/>
      <c r="K28" s="695"/>
      <c r="L28" s="695"/>
      <c r="M28" s="695"/>
      <c r="N28" s="695"/>
      <c r="O28" s="695"/>
      <c r="P28" s="695"/>
    </row>
    <row r="29" spans="1:16" x14ac:dyDescent="0.25">
      <c r="A29" s="270">
        <v>5.27</v>
      </c>
      <c r="B29" s="269">
        <v>42089</v>
      </c>
      <c r="C29" s="270"/>
      <c r="D29" s="694" t="s">
        <v>704</v>
      </c>
      <c r="E29" s="695"/>
      <c r="F29" s="695"/>
      <c r="G29" s="695"/>
      <c r="H29" s="695"/>
      <c r="I29" s="695"/>
      <c r="J29" s="695"/>
      <c r="K29" s="695"/>
      <c r="L29" s="695"/>
      <c r="M29" s="695"/>
      <c r="N29" s="695"/>
      <c r="O29" s="695"/>
      <c r="P29" s="695"/>
    </row>
    <row r="30" spans="1:16" x14ac:dyDescent="0.25">
      <c r="A30" s="270">
        <v>5.28</v>
      </c>
      <c r="B30" s="269">
        <v>42180</v>
      </c>
      <c r="C30" s="270"/>
      <c r="D30" s="694" t="s">
        <v>705</v>
      </c>
      <c r="E30" s="695"/>
      <c r="F30" s="695"/>
      <c r="G30" s="695"/>
      <c r="H30" s="695"/>
      <c r="I30" s="695"/>
      <c r="J30" s="695"/>
      <c r="K30" s="695"/>
      <c r="L30" s="695"/>
      <c r="M30" s="695"/>
      <c r="N30" s="695"/>
      <c r="O30" s="695"/>
      <c r="P30" s="695"/>
    </row>
    <row r="31" spans="1:16" x14ac:dyDescent="0.25">
      <c r="A31" s="270">
        <v>5.29</v>
      </c>
      <c r="B31" s="269">
        <v>42276</v>
      </c>
      <c r="C31" s="270"/>
      <c r="D31" s="708" t="s">
        <v>706</v>
      </c>
      <c r="E31" s="709"/>
      <c r="F31" s="709"/>
      <c r="G31" s="709"/>
      <c r="H31" s="709"/>
      <c r="I31" s="709"/>
      <c r="J31" s="709"/>
      <c r="K31" s="709"/>
      <c r="L31" s="709"/>
      <c r="M31" s="709"/>
      <c r="N31" s="709"/>
      <c r="O31" s="709"/>
      <c r="P31" s="710"/>
    </row>
    <row r="32" spans="1:16" x14ac:dyDescent="0.25">
      <c r="A32" s="517">
        <v>5.3010000000000002</v>
      </c>
      <c r="B32" s="269">
        <v>42376</v>
      </c>
      <c r="C32" s="270"/>
      <c r="D32" s="694" t="s">
        <v>707</v>
      </c>
      <c r="E32" s="695"/>
      <c r="F32" s="695"/>
      <c r="G32" s="695"/>
      <c r="H32" s="695"/>
      <c r="I32" s="695"/>
      <c r="J32" s="695"/>
      <c r="K32" s="695"/>
      <c r="L32" s="695"/>
      <c r="M32" s="695"/>
      <c r="N32" s="695"/>
      <c r="O32" s="695"/>
      <c r="P32" s="695"/>
    </row>
    <row r="33" spans="1:16" x14ac:dyDescent="0.25">
      <c r="A33" s="270">
        <v>5.31</v>
      </c>
      <c r="B33" s="269">
        <v>42465</v>
      </c>
      <c r="C33" s="270"/>
      <c r="D33" s="694" t="s">
        <v>709</v>
      </c>
      <c r="E33" s="695"/>
      <c r="F33" s="695"/>
      <c r="G33" s="695"/>
      <c r="H33" s="695"/>
      <c r="I33" s="695"/>
      <c r="J33" s="695"/>
      <c r="K33" s="695"/>
      <c r="L33" s="695"/>
      <c r="M33" s="695"/>
      <c r="N33" s="695"/>
      <c r="O33" s="695"/>
      <c r="P33" s="695"/>
    </row>
    <row r="34" spans="1:16" x14ac:dyDescent="0.25">
      <c r="A34" s="270">
        <v>5.32</v>
      </c>
      <c r="B34" s="269">
        <v>42531</v>
      </c>
      <c r="C34" s="270"/>
      <c r="D34" s="694" t="s">
        <v>710</v>
      </c>
      <c r="E34" s="695"/>
      <c r="F34" s="695"/>
      <c r="G34" s="695"/>
      <c r="H34" s="695"/>
      <c r="I34" s="695"/>
      <c r="J34" s="695"/>
      <c r="K34" s="695"/>
      <c r="L34" s="695"/>
      <c r="M34" s="695"/>
      <c r="N34" s="695"/>
      <c r="O34" s="695"/>
      <c r="P34" s="695"/>
    </row>
    <row r="35" spans="1:16" x14ac:dyDescent="0.25">
      <c r="A35" s="270">
        <v>5.33</v>
      </c>
      <c r="B35" s="269">
        <v>42621</v>
      </c>
      <c r="C35" s="270"/>
      <c r="D35" s="694" t="s">
        <v>711</v>
      </c>
      <c r="E35" s="695"/>
      <c r="F35" s="695"/>
      <c r="G35" s="695"/>
      <c r="H35" s="695"/>
      <c r="I35" s="695"/>
      <c r="J35" s="695"/>
      <c r="K35" s="695"/>
      <c r="L35" s="695"/>
      <c r="M35" s="695"/>
      <c r="N35" s="695"/>
      <c r="O35" s="695"/>
      <c r="P35" s="695"/>
    </row>
    <row r="36" spans="1:16" x14ac:dyDescent="0.25">
      <c r="A36" s="270">
        <v>5.35</v>
      </c>
      <c r="B36" s="269">
        <v>42739</v>
      </c>
      <c r="C36" s="270"/>
      <c r="D36" s="694" t="s">
        <v>712</v>
      </c>
      <c r="E36" s="695"/>
      <c r="F36" s="695"/>
      <c r="G36" s="695"/>
      <c r="H36" s="695"/>
      <c r="I36" s="695"/>
      <c r="J36" s="695"/>
      <c r="K36" s="695"/>
      <c r="L36" s="695"/>
      <c r="M36" s="695"/>
      <c r="N36" s="695"/>
      <c r="O36" s="695"/>
      <c r="P36" s="695"/>
    </row>
    <row r="37" spans="1:16" ht="12.75" customHeight="1" x14ac:dyDescent="0.25">
      <c r="A37" s="270">
        <v>5.36</v>
      </c>
      <c r="B37" s="269">
        <v>42823</v>
      </c>
      <c r="C37" s="270"/>
      <c r="D37" s="694" t="s">
        <v>713</v>
      </c>
      <c r="E37" s="695"/>
      <c r="F37" s="695"/>
      <c r="G37" s="695"/>
      <c r="H37" s="695"/>
      <c r="I37" s="695"/>
      <c r="J37" s="695"/>
      <c r="K37" s="695"/>
      <c r="L37" s="695"/>
      <c r="M37" s="695"/>
      <c r="N37" s="695"/>
      <c r="O37" s="695"/>
      <c r="P37" s="695"/>
    </row>
    <row r="38" spans="1:16" x14ac:dyDescent="0.25">
      <c r="A38" s="270">
        <v>5.37</v>
      </c>
      <c r="B38" s="518">
        <v>42923</v>
      </c>
      <c r="C38" s="519"/>
      <c r="D38" s="692" t="s">
        <v>714</v>
      </c>
      <c r="E38" s="693"/>
      <c r="F38" s="693"/>
      <c r="G38" s="693"/>
      <c r="H38" s="693"/>
      <c r="I38" s="693"/>
      <c r="J38" s="693"/>
      <c r="K38" s="693"/>
      <c r="L38" s="693"/>
      <c r="M38" s="693"/>
      <c r="N38" s="693"/>
      <c r="O38" s="693"/>
      <c r="P38" s="693"/>
    </row>
    <row r="39" spans="1:16" x14ac:dyDescent="0.25">
      <c r="A39" s="270">
        <v>5.38</v>
      </c>
      <c r="B39" s="269">
        <v>43003</v>
      </c>
      <c r="C39" s="270"/>
      <c r="D39" s="692" t="s">
        <v>715</v>
      </c>
      <c r="E39" s="693"/>
      <c r="F39" s="693"/>
      <c r="G39" s="693"/>
      <c r="H39" s="693"/>
      <c r="I39" s="693"/>
      <c r="J39" s="693"/>
      <c r="K39" s="693"/>
      <c r="L39" s="693"/>
      <c r="M39" s="693"/>
      <c r="N39" s="693"/>
      <c r="O39" s="693"/>
      <c r="P39" s="693"/>
    </row>
    <row r="40" spans="1:16" x14ac:dyDescent="0.25">
      <c r="A40" s="270">
        <v>5.39</v>
      </c>
      <c r="B40" s="269">
        <v>43082</v>
      </c>
      <c r="C40" s="270"/>
      <c r="D40" s="694" t="s">
        <v>716</v>
      </c>
      <c r="E40" s="695"/>
      <c r="F40" s="695"/>
      <c r="G40" s="695"/>
      <c r="H40" s="695"/>
      <c r="I40" s="695"/>
      <c r="J40" s="695"/>
      <c r="K40" s="695"/>
      <c r="L40" s="695"/>
      <c r="M40" s="695"/>
      <c r="N40" s="695"/>
      <c r="O40" s="695"/>
      <c r="P40" s="695"/>
    </row>
    <row r="41" spans="1:16" x14ac:dyDescent="0.25">
      <c r="A41" s="520" t="s">
        <v>718</v>
      </c>
      <c r="B41" s="269">
        <v>43179</v>
      </c>
      <c r="C41" s="270"/>
      <c r="D41" s="694" t="s">
        <v>717</v>
      </c>
      <c r="E41" s="695"/>
      <c r="F41" s="695"/>
      <c r="G41" s="695"/>
      <c r="H41" s="695"/>
      <c r="I41" s="695"/>
      <c r="J41" s="695"/>
      <c r="K41" s="695"/>
      <c r="L41" s="695"/>
      <c r="M41" s="695"/>
      <c r="N41" s="695"/>
      <c r="O41" s="695"/>
      <c r="P41" s="695"/>
    </row>
    <row r="42" spans="1:16" x14ac:dyDescent="0.25">
      <c r="A42" s="270">
        <v>5.41</v>
      </c>
      <c r="B42" s="269">
        <v>43256</v>
      </c>
      <c r="C42" s="270"/>
      <c r="D42" s="694" t="s">
        <v>719</v>
      </c>
      <c r="E42" s="695"/>
      <c r="F42" s="695"/>
      <c r="G42" s="695"/>
      <c r="H42" s="695"/>
      <c r="I42" s="695"/>
      <c r="J42" s="695"/>
      <c r="K42" s="695"/>
      <c r="L42" s="695"/>
      <c r="M42" s="695"/>
      <c r="N42" s="695"/>
      <c r="O42" s="695"/>
      <c r="P42" s="695"/>
    </row>
    <row r="43" spans="1:16" x14ac:dyDescent="0.25">
      <c r="A43" s="270">
        <v>5.42</v>
      </c>
      <c r="B43" s="269">
        <v>43368</v>
      </c>
      <c r="C43" s="270"/>
      <c r="D43" s="705" t="s">
        <v>720</v>
      </c>
      <c r="E43" s="699"/>
      <c r="F43" s="699"/>
      <c r="G43" s="699"/>
      <c r="H43" s="699"/>
      <c r="I43" s="699"/>
      <c r="J43" s="699"/>
      <c r="K43" s="699"/>
      <c r="L43" s="699"/>
      <c r="M43" s="699"/>
      <c r="N43" s="699"/>
      <c r="O43" s="699"/>
      <c r="P43" s="699"/>
    </row>
    <row r="44" spans="1:16" x14ac:dyDescent="0.25">
      <c r="A44" s="270">
        <v>5.43</v>
      </c>
      <c r="B44" s="269">
        <v>43451</v>
      </c>
      <c r="C44" s="270"/>
      <c r="D44" s="705" t="s">
        <v>721</v>
      </c>
      <c r="E44" s="699"/>
      <c r="F44" s="699"/>
      <c r="G44" s="699"/>
      <c r="H44" s="699"/>
      <c r="I44" s="699"/>
      <c r="J44" s="699"/>
      <c r="K44" s="699"/>
      <c r="L44" s="699"/>
      <c r="M44" s="699"/>
      <c r="N44" s="699"/>
      <c r="O44" s="699"/>
      <c r="P44" s="699"/>
    </row>
    <row r="45" spans="1:16" x14ac:dyDescent="0.25">
      <c r="A45" s="521" t="s">
        <v>723</v>
      </c>
      <c r="B45" s="269">
        <v>43549</v>
      </c>
      <c r="C45" s="270"/>
      <c r="D45" s="705" t="s">
        <v>721</v>
      </c>
      <c r="E45" s="699"/>
      <c r="F45" s="699"/>
      <c r="G45" s="699"/>
      <c r="H45" s="699"/>
      <c r="I45" s="699"/>
      <c r="J45" s="699"/>
      <c r="K45" s="699"/>
      <c r="L45" s="699"/>
      <c r="M45" s="699"/>
      <c r="N45" s="699"/>
      <c r="O45" s="699"/>
      <c r="P45" s="699"/>
    </row>
    <row r="46" spans="1:16" x14ac:dyDescent="0.25">
      <c r="A46" s="521" t="s">
        <v>722</v>
      </c>
      <c r="B46" s="269">
        <v>43661</v>
      </c>
      <c r="C46" s="270"/>
      <c r="D46" s="705" t="s">
        <v>721</v>
      </c>
      <c r="E46" s="699"/>
      <c r="F46" s="699"/>
      <c r="G46" s="699"/>
      <c r="H46" s="699"/>
      <c r="I46" s="699"/>
      <c r="J46" s="699"/>
      <c r="K46" s="699"/>
      <c r="L46" s="699"/>
      <c r="M46" s="699"/>
      <c r="N46" s="699"/>
      <c r="O46" s="699"/>
      <c r="P46" s="699"/>
    </row>
    <row r="47" spans="1:16" x14ac:dyDescent="0.25">
      <c r="A47" s="270">
        <v>5.45</v>
      </c>
      <c r="B47" s="269">
        <v>44062</v>
      </c>
      <c r="C47" s="270"/>
      <c r="D47" s="705" t="s">
        <v>721</v>
      </c>
      <c r="E47" s="699"/>
      <c r="F47" s="699"/>
      <c r="G47" s="699"/>
      <c r="H47" s="699"/>
      <c r="I47" s="699"/>
      <c r="J47" s="699"/>
      <c r="K47" s="699"/>
      <c r="L47" s="699"/>
      <c r="M47" s="699"/>
      <c r="N47" s="699"/>
      <c r="O47" s="699"/>
      <c r="P47" s="699"/>
    </row>
    <row r="48" spans="1:16" x14ac:dyDescent="0.25">
      <c r="A48" s="270">
        <v>5.46</v>
      </c>
      <c r="B48" s="269">
        <v>44141</v>
      </c>
      <c r="C48" s="270"/>
      <c r="D48" s="705" t="s">
        <v>721</v>
      </c>
      <c r="E48" s="699"/>
      <c r="F48" s="699"/>
      <c r="G48" s="699"/>
      <c r="H48" s="699"/>
      <c r="I48" s="699"/>
      <c r="J48" s="699"/>
      <c r="K48" s="699"/>
      <c r="L48" s="699"/>
      <c r="M48" s="699"/>
      <c r="N48" s="699"/>
      <c r="O48" s="699"/>
      <c r="P48" s="699"/>
    </row>
    <row r="49" spans="1:16" x14ac:dyDescent="0.25">
      <c r="A49" s="270">
        <v>5.47</v>
      </c>
      <c r="B49" s="269">
        <v>44228</v>
      </c>
      <c r="C49" s="270"/>
      <c r="D49" s="705" t="s">
        <v>721</v>
      </c>
      <c r="E49" s="699"/>
      <c r="F49" s="699"/>
      <c r="G49" s="699"/>
      <c r="H49" s="699"/>
      <c r="I49" s="699"/>
      <c r="J49" s="699"/>
      <c r="K49" s="699"/>
      <c r="L49" s="699"/>
      <c r="M49" s="699"/>
      <c r="N49" s="699"/>
      <c r="O49" s="699"/>
      <c r="P49" s="699"/>
    </row>
    <row r="50" spans="1:16" x14ac:dyDescent="0.25">
      <c r="A50" s="270">
        <v>5.48</v>
      </c>
      <c r="B50" s="269">
        <v>44231</v>
      </c>
      <c r="C50" s="270"/>
      <c r="D50" s="705" t="s">
        <v>721</v>
      </c>
      <c r="E50" s="699"/>
      <c r="F50" s="699"/>
      <c r="G50" s="699"/>
      <c r="H50" s="699"/>
      <c r="I50" s="699"/>
      <c r="J50" s="699"/>
      <c r="K50" s="699"/>
      <c r="L50" s="699"/>
      <c r="M50" s="699"/>
      <c r="N50" s="699"/>
      <c r="O50" s="699"/>
      <c r="P50" s="699"/>
    </row>
    <row r="51" spans="1:16" x14ac:dyDescent="0.25">
      <c r="A51" s="270">
        <v>5.49</v>
      </c>
      <c r="B51" s="269">
        <v>44377</v>
      </c>
      <c r="C51" s="270"/>
      <c r="D51" s="705" t="s">
        <v>721</v>
      </c>
      <c r="E51" s="699"/>
      <c r="F51" s="699"/>
      <c r="G51" s="699"/>
      <c r="H51" s="699"/>
      <c r="I51" s="699"/>
      <c r="J51" s="699"/>
      <c r="K51" s="699"/>
      <c r="L51" s="699"/>
      <c r="M51" s="699"/>
      <c r="N51" s="699"/>
      <c r="O51" s="699"/>
      <c r="P51" s="699"/>
    </row>
    <row r="52" spans="1:16" x14ac:dyDescent="0.25">
      <c r="A52" s="270">
        <v>5.5</v>
      </c>
      <c r="B52" s="269">
        <v>44463</v>
      </c>
      <c r="C52" s="270"/>
      <c r="D52" s="705" t="s">
        <v>721</v>
      </c>
      <c r="E52" s="699"/>
      <c r="F52" s="699"/>
      <c r="G52" s="699"/>
      <c r="H52" s="699"/>
      <c r="I52" s="699"/>
      <c r="J52" s="699"/>
      <c r="K52" s="699"/>
      <c r="L52" s="699"/>
      <c r="M52" s="699"/>
      <c r="N52" s="699"/>
      <c r="O52" s="699"/>
      <c r="P52" s="699"/>
    </row>
    <row r="53" spans="1:16" x14ac:dyDescent="0.25">
      <c r="A53" s="270">
        <v>5.51</v>
      </c>
      <c r="B53" s="269">
        <v>44582</v>
      </c>
      <c r="C53" s="270"/>
      <c r="D53" s="705" t="s">
        <v>721</v>
      </c>
      <c r="E53" s="699"/>
      <c r="F53" s="699"/>
      <c r="G53" s="699"/>
      <c r="H53" s="699"/>
      <c r="I53" s="699"/>
      <c r="J53" s="699"/>
      <c r="K53" s="699"/>
      <c r="L53" s="699"/>
      <c r="M53" s="699"/>
      <c r="N53" s="699"/>
      <c r="O53" s="699"/>
      <c r="P53" s="699"/>
    </row>
    <row r="54" spans="1:16" x14ac:dyDescent="0.25">
      <c r="A54" s="270">
        <v>5.52</v>
      </c>
      <c r="B54" s="269">
        <v>44637</v>
      </c>
      <c r="C54" s="270"/>
      <c r="D54" s="705" t="s">
        <v>721</v>
      </c>
      <c r="E54" s="699"/>
      <c r="F54" s="699"/>
      <c r="G54" s="699"/>
      <c r="H54" s="699"/>
      <c r="I54" s="699"/>
      <c r="J54" s="699"/>
      <c r="K54" s="699"/>
      <c r="L54" s="699"/>
      <c r="M54" s="699"/>
      <c r="N54" s="699"/>
      <c r="O54" s="699"/>
      <c r="P54" s="699"/>
    </row>
    <row r="55" spans="1:16" x14ac:dyDescent="0.25">
      <c r="A55" s="270">
        <v>5.53</v>
      </c>
      <c r="B55" s="269">
        <v>44743</v>
      </c>
      <c r="C55" s="270"/>
      <c r="D55" s="705" t="s">
        <v>721</v>
      </c>
      <c r="E55" s="699"/>
      <c r="F55" s="699"/>
      <c r="G55" s="699"/>
      <c r="H55" s="699"/>
      <c r="I55" s="699"/>
      <c r="J55" s="699"/>
      <c r="K55" s="699"/>
      <c r="L55" s="699"/>
      <c r="M55" s="699"/>
      <c r="N55" s="699"/>
      <c r="O55" s="699"/>
      <c r="P55" s="699"/>
    </row>
    <row r="56" spans="1:16" x14ac:dyDescent="0.25">
      <c r="A56" s="270">
        <v>5.54</v>
      </c>
      <c r="B56" s="269">
        <v>44839</v>
      </c>
      <c r="C56" s="270"/>
      <c r="D56" s="705" t="s">
        <v>721</v>
      </c>
      <c r="E56" s="699"/>
      <c r="F56" s="699"/>
      <c r="G56" s="699"/>
      <c r="H56" s="699"/>
      <c r="I56" s="699"/>
      <c r="J56" s="699"/>
      <c r="K56" s="699"/>
      <c r="L56" s="699"/>
      <c r="M56" s="699"/>
      <c r="N56" s="699"/>
      <c r="O56" s="699"/>
      <c r="P56" s="699"/>
    </row>
    <row r="57" spans="1:16" x14ac:dyDescent="0.25">
      <c r="A57" s="270">
        <v>5.55</v>
      </c>
      <c r="B57" s="269">
        <v>44904</v>
      </c>
      <c r="C57" s="270"/>
      <c r="D57" s="705" t="s">
        <v>721</v>
      </c>
      <c r="E57" s="699"/>
      <c r="F57" s="699"/>
      <c r="G57" s="699"/>
      <c r="H57" s="699"/>
      <c r="I57" s="699"/>
      <c r="J57" s="699"/>
      <c r="K57" s="699"/>
      <c r="L57" s="699"/>
      <c r="M57" s="699"/>
      <c r="N57" s="699"/>
      <c r="O57" s="699"/>
      <c r="P57" s="699"/>
    </row>
    <row r="58" spans="1:16" x14ac:dyDescent="0.25">
      <c r="A58" s="270">
        <v>5.56</v>
      </c>
      <c r="B58" s="269">
        <v>44977</v>
      </c>
      <c r="C58" s="270"/>
      <c r="D58" s="705" t="s">
        <v>721</v>
      </c>
      <c r="E58" s="699"/>
      <c r="F58" s="699"/>
      <c r="G58" s="699"/>
      <c r="H58" s="699"/>
      <c r="I58" s="699"/>
      <c r="J58" s="699"/>
      <c r="K58" s="699"/>
      <c r="L58" s="699"/>
      <c r="M58" s="699"/>
      <c r="N58" s="699"/>
      <c r="O58" s="699"/>
      <c r="P58" s="699"/>
    </row>
    <row r="59" spans="1:16" x14ac:dyDescent="0.25">
      <c r="A59" s="270">
        <v>5.57</v>
      </c>
      <c r="B59" s="269">
        <v>45076</v>
      </c>
      <c r="C59" s="270"/>
      <c r="D59" s="705" t="s">
        <v>721</v>
      </c>
      <c r="E59" s="699"/>
      <c r="F59" s="699"/>
      <c r="G59" s="699"/>
      <c r="H59" s="699"/>
      <c r="I59" s="699"/>
      <c r="J59" s="699"/>
      <c r="K59" s="699"/>
      <c r="L59" s="699"/>
      <c r="M59" s="699"/>
      <c r="N59" s="699"/>
      <c r="O59" s="699"/>
      <c r="P59" s="699"/>
    </row>
    <row r="60" spans="1:16" x14ac:dyDescent="0.25">
      <c r="A60" s="270">
        <v>5.58</v>
      </c>
      <c r="B60" s="269">
        <v>45142</v>
      </c>
      <c r="C60" s="270"/>
      <c r="D60" s="705" t="s">
        <v>721</v>
      </c>
      <c r="E60" s="699"/>
      <c r="F60" s="699"/>
      <c r="G60" s="699"/>
      <c r="H60" s="699"/>
      <c r="I60" s="699"/>
      <c r="J60" s="699"/>
      <c r="K60" s="699"/>
      <c r="L60" s="699"/>
      <c r="M60" s="699"/>
      <c r="N60" s="699"/>
      <c r="O60" s="699"/>
      <c r="P60" s="699"/>
    </row>
    <row r="61" spans="1:16" x14ac:dyDescent="0.25">
      <c r="A61" s="270">
        <v>5.59</v>
      </c>
      <c r="B61" s="269">
        <v>45337</v>
      </c>
      <c r="C61" s="270"/>
      <c r="D61" s="705" t="s">
        <v>721</v>
      </c>
      <c r="E61" s="699"/>
      <c r="F61" s="699"/>
      <c r="G61" s="699"/>
      <c r="H61" s="699"/>
      <c r="I61" s="699"/>
      <c r="J61" s="699"/>
      <c r="K61" s="699"/>
      <c r="L61" s="699"/>
      <c r="M61" s="699"/>
      <c r="N61" s="699"/>
      <c r="O61" s="699"/>
      <c r="P61" s="699"/>
    </row>
    <row r="62" spans="1:16" x14ac:dyDescent="0.25">
      <c r="A62" s="530" t="s">
        <v>726</v>
      </c>
      <c r="B62" s="269">
        <v>45527</v>
      </c>
      <c r="C62" s="270"/>
      <c r="D62" s="705" t="s">
        <v>727</v>
      </c>
      <c r="E62" s="699"/>
      <c r="F62" s="699"/>
      <c r="G62" s="699"/>
      <c r="H62" s="699"/>
      <c r="I62" s="699"/>
      <c r="J62" s="699"/>
      <c r="K62" s="699"/>
      <c r="L62" s="699"/>
      <c r="M62" s="699"/>
      <c r="N62" s="699"/>
      <c r="O62" s="699"/>
      <c r="P62" s="699"/>
    </row>
    <row r="63" spans="1:16" x14ac:dyDescent="0.25">
      <c r="A63" s="270"/>
      <c r="B63" s="269"/>
      <c r="C63" s="270"/>
      <c r="D63" s="705"/>
      <c r="E63" s="699"/>
      <c r="F63" s="699"/>
      <c r="G63" s="699"/>
      <c r="H63" s="699"/>
      <c r="I63" s="699"/>
      <c r="J63" s="699"/>
      <c r="K63" s="699"/>
      <c r="L63" s="699"/>
      <c r="M63" s="699"/>
      <c r="N63" s="699"/>
      <c r="O63" s="699"/>
      <c r="P63" s="699"/>
    </row>
    <row r="64" spans="1:16" x14ac:dyDescent="0.25">
      <c r="A64" s="270"/>
      <c r="B64" s="269"/>
      <c r="C64" s="270"/>
      <c r="D64" s="705"/>
      <c r="E64" s="699"/>
      <c r="F64" s="699"/>
      <c r="G64" s="699"/>
      <c r="H64" s="699"/>
      <c r="I64" s="699"/>
      <c r="J64" s="699"/>
      <c r="K64" s="699"/>
      <c r="L64" s="699"/>
      <c r="M64" s="699"/>
      <c r="N64" s="699"/>
      <c r="O64" s="699"/>
      <c r="P64" s="699"/>
    </row>
  </sheetData>
  <customSheetViews>
    <customSheetView guid="{27B7C317-A4C8-4AFE-A1B4-96A5038E57EE}" scale="80" showGridLines="0" showRuler="0">
      <pane ySplit="1" topLeftCell="A2" activePane="bottomLeft" state="frozen"/>
      <selection pane="bottomLeft" activeCell="A29" sqref="A29"/>
      <pageMargins left="0.75" right="0.75" top="1" bottom="1" header="0.5" footer="0.5"/>
      <pageSetup paperSize="9" orientation="landscape" horizontalDpi="300" verticalDpi="300" r:id="rId1"/>
      <headerFooter alignWithMargins="0"/>
    </customSheetView>
  </customSheetViews>
  <mergeCells count="64">
    <mergeCell ref="D64:P64"/>
    <mergeCell ref="D54:P54"/>
    <mergeCell ref="D55:P55"/>
    <mergeCell ref="D49:P49"/>
    <mergeCell ref="D50:P50"/>
    <mergeCell ref="D51:P51"/>
    <mergeCell ref="D52:P52"/>
    <mergeCell ref="D53:P53"/>
    <mergeCell ref="D56:P56"/>
    <mergeCell ref="D57:P57"/>
    <mergeCell ref="D58:P58"/>
    <mergeCell ref="D59:P59"/>
    <mergeCell ref="D60:P60"/>
    <mergeCell ref="D61:P61"/>
    <mergeCell ref="D62:P62"/>
    <mergeCell ref="D63:P63"/>
    <mergeCell ref="D44:P44"/>
    <mergeCell ref="D45:P45"/>
    <mergeCell ref="D46:P46"/>
    <mergeCell ref="D47:P47"/>
    <mergeCell ref="D48:P48"/>
    <mergeCell ref="D37:P37"/>
    <mergeCell ref="D43:P43"/>
    <mergeCell ref="D15:P15"/>
    <mergeCell ref="D16:P16"/>
    <mergeCell ref="D17:P17"/>
    <mergeCell ref="D18:P18"/>
    <mergeCell ref="D34:P34"/>
    <mergeCell ref="D35:P35"/>
    <mergeCell ref="D36:P36"/>
    <mergeCell ref="D27:P27"/>
    <mergeCell ref="D26:P26"/>
    <mergeCell ref="D30:P30"/>
    <mergeCell ref="D31:P31"/>
    <mergeCell ref="D32:P32"/>
    <mergeCell ref="D29:P29"/>
    <mergeCell ref="D28:P28"/>
    <mergeCell ref="D33:P33"/>
    <mergeCell ref="D1:P1"/>
    <mergeCell ref="D2:P2"/>
    <mergeCell ref="D3:P3"/>
    <mergeCell ref="D4:P4"/>
    <mergeCell ref="D20:P20"/>
    <mergeCell ref="D5:P5"/>
    <mergeCell ref="D6:P6"/>
    <mergeCell ref="D13:P13"/>
    <mergeCell ref="D14:P14"/>
    <mergeCell ref="D7:P7"/>
    <mergeCell ref="D25:P25"/>
    <mergeCell ref="D24:P24"/>
    <mergeCell ref="D8:P8"/>
    <mergeCell ref="D9:P9"/>
    <mergeCell ref="D10:P10"/>
    <mergeCell ref="D23:P23"/>
    <mergeCell ref="D11:P11"/>
    <mergeCell ref="D12:P12"/>
    <mergeCell ref="D19:P19"/>
    <mergeCell ref="D21:P21"/>
    <mergeCell ref="D22:P22"/>
    <mergeCell ref="D39:P39"/>
    <mergeCell ref="D40:P40"/>
    <mergeCell ref="D41:P41"/>
    <mergeCell ref="D42:P42"/>
    <mergeCell ref="D38:P38"/>
  </mergeCells>
  <phoneticPr fontId="4" type="noConversion"/>
  <pageMargins left="0.75" right="0.75" top="1" bottom="1" header="0.5" footer="0.5"/>
  <pageSetup paperSize="9" orientation="landscape"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Y44"/>
  <sheetViews>
    <sheetView showGridLines="0" zoomScale="75" workbookViewId="0">
      <selection activeCell="B32" sqref="B32:E32"/>
    </sheetView>
  </sheetViews>
  <sheetFormatPr defaultColWidth="9.109375" defaultRowHeight="20.100000000000001" customHeight="1" x14ac:dyDescent="0.25"/>
  <cols>
    <col min="1" max="1" width="3" style="98" customWidth="1"/>
    <col min="2" max="2" width="10.6640625" style="98" customWidth="1"/>
    <col min="3" max="3" width="16.33203125" style="98" customWidth="1"/>
    <col min="4" max="4" width="38.33203125" style="98" customWidth="1"/>
    <col min="5" max="5" width="33" style="98" customWidth="1"/>
    <col min="6" max="6" width="15.6640625" style="98" customWidth="1"/>
    <col min="7" max="7" width="17.6640625" style="98" customWidth="1"/>
    <col min="8" max="8" width="18" style="98" customWidth="1"/>
    <col min="9" max="9" width="11.5546875" style="98" customWidth="1"/>
    <col min="10" max="10" width="12" style="98" customWidth="1"/>
    <col min="11" max="11" width="9.44140625" style="98" customWidth="1"/>
    <col min="12" max="12" width="9.109375" style="98"/>
    <col min="13" max="13" width="9.88671875" style="98" customWidth="1"/>
    <col min="14" max="14" width="9.5546875" style="98" customWidth="1"/>
    <col min="15" max="15" width="18.5546875" style="98" customWidth="1"/>
    <col min="16" max="16" width="16.33203125" style="98" customWidth="1"/>
    <col min="17" max="17" width="14.6640625" style="98" customWidth="1"/>
    <col min="18" max="18" width="16.44140625" style="98" customWidth="1"/>
    <col min="19" max="19" width="11.33203125" style="98" customWidth="1"/>
    <col min="20" max="20" width="7" style="98" customWidth="1"/>
    <col min="21" max="21" width="8.109375" style="98" customWidth="1"/>
    <col min="22" max="22" width="5.88671875" style="98" customWidth="1"/>
    <col min="23" max="23" width="6.33203125" style="98" customWidth="1"/>
    <col min="24" max="16384" width="9.109375" style="98"/>
  </cols>
  <sheetData>
    <row r="1" spans="1:11" ht="15" customHeight="1" x14ac:dyDescent="0.3">
      <c r="A1" s="69" t="s">
        <v>307</v>
      </c>
    </row>
    <row r="2" spans="1:11" ht="15" customHeight="1" x14ac:dyDescent="0.25">
      <c r="B2" s="513" t="str">
        <f>Welcome!B7</f>
        <v>Version 5.60</v>
      </c>
    </row>
    <row r="3" spans="1:11" ht="15" customHeight="1" x14ac:dyDescent="0.25">
      <c r="A3" s="98">
        <v>1</v>
      </c>
      <c r="B3" s="90" t="s">
        <v>292</v>
      </c>
      <c r="C3" s="90"/>
    </row>
    <row r="4" spans="1:11" ht="15" customHeight="1" x14ac:dyDescent="0.25">
      <c r="B4" s="540" t="s">
        <v>233</v>
      </c>
      <c r="C4" s="541"/>
      <c r="D4" s="542"/>
      <c r="E4" s="540" t="s">
        <v>292</v>
      </c>
      <c r="F4" s="541"/>
      <c r="G4" s="541"/>
      <c r="H4" s="541"/>
      <c r="I4" s="541"/>
      <c r="J4" s="542"/>
    </row>
    <row r="5" spans="1:11" ht="15" customHeight="1" x14ac:dyDescent="0.25">
      <c r="B5" s="332" t="s">
        <v>293</v>
      </c>
      <c r="C5" s="333"/>
      <c r="D5" s="334"/>
      <c r="E5" s="543"/>
      <c r="F5" s="534"/>
      <c r="G5" s="534"/>
      <c r="H5" s="534"/>
      <c r="I5" s="534"/>
      <c r="J5" s="535"/>
    </row>
    <row r="6" spans="1:11" ht="15" customHeight="1" x14ac:dyDescent="0.25">
      <c r="B6" s="335" t="s">
        <v>294</v>
      </c>
      <c r="C6" s="336"/>
      <c r="D6" s="337"/>
      <c r="E6" s="543"/>
      <c r="F6" s="534"/>
      <c r="G6" s="534"/>
      <c r="H6" s="534"/>
      <c r="I6" s="534"/>
      <c r="J6" s="535"/>
    </row>
    <row r="7" spans="1:11" ht="15" customHeight="1" x14ac:dyDescent="0.25">
      <c r="B7" s="335" t="s">
        <v>295</v>
      </c>
      <c r="C7" s="336"/>
      <c r="D7" s="337"/>
      <c r="E7" s="533"/>
      <c r="F7" s="534"/>
      <c r="G7" s="534"/>
      <c r="H7" s="534"/>
      <c r="I7" s="534"/>
      <c r="J7" s="535"/>
    </row>
    <row r="8" spans="1:11" ht="15" customHeight="1" x14ac:dyDescent="0.25">
      <c r="B8" s="338" t="s">
        <v>296</v>
      </c>
      <c r="C8" s="339"/>
      <c r="D8" s="340"/>
      <c r="E8" s="543"/>
      <c r="F8" s="534"/>
      <c r="G8" s="534"/>
      <c r="H8" s="534"/>
      <c r="I8" s="534"/>
      <c r="J8" s="535"/>
    </row>
    <row r="9" spans="1:11" ht="15" customHeight="1" x14ac:dyDescent="0.25">
      <c r="B9" s="338" t="s">
        <v>297</v>
      </c>
      <c r="C9" s="339"/>
      <c r="D9" s="340"/>
      <c r="E9" s="546"/>
      <c r="F9" s="534"/>
      <c r="G9" s="534"/>
      <c r="H9" s="534"/>
      <c r="I9" s="534"/>
      <c r="J9" s="535"/>
    </row>
    <row r="10" spans="1:11" ht="15" customHeight="1" x14ac:dyDescent="0.25">
      <c r="B10" s="338" t="s">
        <v>298</v>
      </c>
      <c r="C10" s="339"/>
      <c r="D10" s="340"/>
      <c r="E10" s="543"/>
      <c r="F10" s="534"/>
      <c r="G10" s="534"/>
      <c r="H10" s="534"/>
      <c r="I10" s="534"/>
      <c r="J10" s="535"/>
    </row>
    <row r="11" spans="1:11" ht="15" customHeight="1" x14ac:dyDescent="0.25">
      <c r="K11" s="341"/>
    </row>
    <row r="12" spans="1:11" ht="15" customHeight="1" x14ac:dyDescent="0.25">
      <c r="A12" s="98">
        <v>2</v>
      </c>
      <c r="B12" s="90" t="s">
        <v>299</v>
      </c>
      <c r="F12" s="90" t="s">
        <v>688</v>
      </c>
      <c r="K12" s="341"/>
    </row>
    <row r="13" spans="1:11" ht="15" customHeight="1" x14ac:dyDescent="0.25">
      <c r="B13" s="547" t="s">
        <v>233</v>
      </c>
      <c r="C13" s="548"/>
      <c r="D13" s="268" t="s">
        <v>300</v>
      </c>
      <c r="E13" s="486"/>
      <c r="F13" s="268" t="s">
        <v>396</v>
      </c>
      <c r="G13" s="268" t="s">
        <v>300</v>
      </c>
      <c r="H13" s="268" t="s">
        <v>554</v>
      </c>
      <c r="K13" s="341"/>
    </row>
    <row r="14" spans="1:11" ht="15" customHeight="1" x14ac:dyDescent="0.25">
      <c r="B14" s="544" t="s">
        <v>724</v>
      </c>
      <c r="C14" s="545"/>
      <c r="D14" s="526">
        <v>45627</v>
      </c>
      <c r="E14" s="486"/>
      <c r="F14" s="377" t="str">
        <f>+IF(D16/'June 2009 Summary'!D15&lt;Summary!D17/'June 2009 Summary'!D16,Summary!B16,Summary!B17)</f>
        <v>RBCI</v>
      </c>
      <c r="G14" s="376">
        <f>+VLOOKUP(F14,B16:D17,3,FALSE)</f>
        <v>141.1</v>
      </c>
      <c r="H14" s="379">
        <f>+VLOOKUP(F14,B16:D17,3)/VLOOKUP(F14,'June 2009 Summary'!B15:D16,3)</f>
        <v>1.482142857142857</v>
      </c>
    </row>
    <row r="15" spans="1:11" ht="15" customHeight="1" x14ac:dyDescent="0.25">
      <c r="B15" s="544" t="s">
        <v>725</v>
      </c>
      <c r="C15" s="545"/>
      <c r="D15" s="527">
        <v>45444</v>
      </c>
      <c r="E15" s="486"/>
    </row>
    <row r="16" spans="1:11" ht="15" customHeight="1" x14ac:dyDescent="0.25">
      <c r="B16" s="544" t="s">
        <v>303</v>
      </c>
      <c r="C16" s="545"/>
      <c r="D16" s="528">
        <v>140.6</v>
      </c>
      <c r="E16" s="486"/>
    </row>
    <row r="17" spans="1:25" s="342" customFormat="1" ht="15" customHeight="1" x14ac:dyDescent="0.25">
      <c r="A17" s="98"/>
      <c r="B17" s="544" t="s">
        <v>151</v>
      </c>
      <c r="C17" s="545"/>
      <c r="D17" s="529">
        <v>141.1</v>
      </c>
      <c r="E17" s="98"/>
      <c r="F17" s="98"/>
      <c r="G17" s="98"/>
      <c r="H17" s="98"/>
      <c r="I17" s="98"/>
      <c r="J17" s="98"/>
      <c r="K17" s="341"/>
    </row>
    <row r="18" spans="1:25" s="342" customFormat="1" ht="15" customHeight="1" x14ac:dyDescent="0.25">
      <c r="A18" s="98"/>
      <c r="B18" s="487"/>
      <c r="C18" s="98"/>
      <c r="D18" s="98"/>
      <c r="E18" s="98"/>
      <c r="F18" s="98"/>
      <c r="G18" s="98"/>
      <c r="H18" s="98"/>
      <c r="I18" s="98"/>
      <c r="J18" s="98"/>
      <c r="K18" s="341"/>
      <c r="S18" s="302"/>
    </row>
    <row r="19" spans="1:25" s="342" customFormat="1" ht="15" customHeight="1" x14ac:dyDescent="0.25">
      <c r="A19" s="98"/>
      <c r="B19" s="343"/>
      <c r="C19" s="98"/>
      <c r="D19" s="98"/>
      <c r="E19" s="98"/>
      <c r="F19" s="98"/>
      <c r="G19" s="98"/>
      <c r="H19" s="98"/>
      <c r="I19" s="98"/>
      <c r="J19" s="98"/>
      <c r="K19" s="341"/>
      <c r="S19" s="302"/>
    </row>
    <row r="20" spans="1:25" s="342" customFormat="1" ht="15" customHeight="1" x14ac:dyDescent="0.25">
      <c r="A20" s="342">
        <v>3</v>
      </c>
      <c r="B20" s="90" t="s">
        <v>305</v>
      </c>
      <c r="C20" s="344"/>
      <c r="D20" s="345"/>
      <c r="E20" s="345"/>
      <c r="F20" s="346"/>
      <c r="G20" s="346"/>
      <c r="H20" s="346"/>
      <c r="I20" s="345"/>
      <c r="J20" s="346"/>
      <c r="K20" s="341"/>
      <c r="S20" s="302"/>
    </row>
    <row r="21" spans="1:25" s="342" customFormat="1" ht="26.25" customHeight="1" x14ac:dyDescent="0.25">
      <c r="B21" s="553" t="s">
        <v>305</v>
      </c>
      <c r="C21" s="554"/>
      <c r="D21" s="554"/>
      <c r="E21" s="555"/>
      <c r="F21" s="331" t="s">
        <v>539</v>
      </c>
      <c r="G21" s="347" t="s">
        <v>538</v>
      </c>
      <c r="H21" s="536" t="s">
        <v>540</v>
      </c>
      <c r="I21" s="537"/>
      <c r="J21" s="347" t="s">
        <v>430</v>
      </c>
      <c r="O21" s="347" t="s">
        <v>664</v>
      </c>
      <c r="P21" s="406" t="s">
        <v>609</v>
      </c>
      <c r="Q21" s="406" t="s">
        <v>691</v>
      </c>
      <c r="R21" s="495"/>
      <c r="S21" s="302"/>
    </row>
    <row r="22" spans="1:25" s="342" customFormat="1" ht="15" customHeight="1" x14ac:dyDescent="0.25">
      <c r="B22" s="538" t="str">
        <f>+'Sewer &amp; Water'!A1</f>
        <v>City Plan Policy 3, Section 2 - Headworks</v>
      </c>
      <c r="C22" s="539"/>
      <c r="D22" s="539"/>
      <c r="E22" s="539"/>
      <c r="F22" s="348"/>
      <c r="G22" s="348"/>
      <c r="H22" s="333"/>
      <c r="I22" s="349"/>
      <c r="J22" s="349"/>
      <c r="O22" s="348"/>
      <c r="P22" s="333"/>
      <c r="Q22" s="348"/>
      <c r="S22" s="302"/>
    </row>
    <row r="23" spans="1:25" s="342" customFormat="1" ht="15" customHeight="1" x14ac:dyDescent="0.25">
      <c r="A23" s="345"/>
      <c r="B23" s="350"/>
      <c r="C23" s="351" t="str">
        <f>+'Sewer &amp; Water'!D36</f>
        <v>(Sewer)</v>
      </c>
      <c r="D23" s="352"/>
      <c r="E23" s="351"/>
      <c r="F23" s="472">
        <f>+ROUND($H$14*'June 2009 Summary'!F22,0)</f>
        <v>0</v>
      </c>
      <c r="G23" s="472">
        <f>+O23+Q23</f>
        <v>0</v>
      </c>
      <c r="H23" s="473">
        <f>+ROUND(P23-Q23,0)</f>
        <v>0</v>
      </c>
      <c r="I23" s="522">
        <f>+$D$14</f>
        <v>45627</v>
      </c>
      <c r="J23" s="355" t="str">
        <f>+'June 2009 Summary'!J22</f>
        <v>P0090</v>
      </c>
      <c r="M23" s="98"/>
      <c r="N23" s="98"/>
      <c r="O23" s="353">
        <f>+$H$14*'Waiver 4'!J13</f>
        <v>0</v>
      </c>
      <c r="P23" s="354">
        <f>+F23-O23</f>
        <v>0</v>
      </c>
      <c r="Q23" s="353">
        <f>+'Waiver 6'!E133</f>
        <v>0</v>
      </c>
      <c r="S23" s="302"/>
    </row>
    <row r="24" spans="1:25" ht="15" customHeight="1" x14ac:dyDescent="0.25">
      <c r="A24" s="345"/>
      <c r="B24" s="338"/>
      <c r="C24" s="339" t="str">
        <f>+'Sewer &amp; Water'!D37</f>
        <v>(water)</v>
      </c>
      <c r="D24" s="352"/>
      <c r="E24" s="339"/>
      <c r="F24" s="472">
        <f>+ROUND($H$14*'June 2009 Summary'!F23,0)</f>
        <v>0</v>
      </c>
      <c r="G24" s="472">
        <f t="shared" ref="G24:G33" si="0">+O24+Q24</f>
        <v>0</v>
      </c>
      <c r="H24" s="474">
        <f>+ROUND(P24-Q24,0)</f>
        <v>0</v>
      </c>
      <c r="I24" s="523">
        <f>+$D$14</f>
        <v>45627</v>
      </c>
      <c r="J24" s="356" t="str">
        <f>+'June 2009 Summary'!J23</f>
        <v>P0085</v>
      </c>
      <c r="O24" s="353">
        <f>+$H$14*'Waiver 4'!K13</f>
        <v>0</v>
      </c>
      <c r="P24" s="382">
        <f>+F24-O24</f>
        <v>0</v>
      </c>
      <c r="Q24" s="415">
        <f>+'Waiver 6'!E132</f>
        <v>0</v>
      </c>
      <c r="S24" s="357"/>
      <c r="U24" s="358"/>
      <c r="W24" s="358"/>
      <c r="Y24" s="358"/>
    </row>
    <row r="25" spans="1:25" ht="15" customHeight="1" x14ac:dyDescent="0.25">
      <c r="B25" s="549" t="str">
        <f>+'Open Space'!A1</f>
        <v>City Plan Policy 2, Section 3 - Public Open Space</v>
      </c>
      <c r="C25" s="550"/>
      <c r="D25" s="550"/>
      <c r="E25" s="551"/>
      <c r="F25" s="475">
        <f>+ROUND($H$14*'June 2009 Summary'!F24,0)</f>
        <v>0</v>
      </c>
      <c r="G25" s="475">
        <f t="shared" si="0"/>
        <v>0</v>
      </c>
      <c r="H25" s="476">
        <f>+ROUND(P25-Q25,0)</f>
        <v>0</v>
      </c>
      <c r="I25" s="524">
        <f>+$D$14</f>
        <v>45627</v>
      </c>
      <c r="J25" s="381" t="str">
        <f>+'June 2009 Summary'!J24</f>
        <v>P0100</v>
      </c>
      <c r="M25" s="341"/>
      <c r="N25" s="341"/>
      <c r="O25" s="380">
        <v>0</v>
      </c>
      <c r="P25" s="380">
        <f>+F25</f>
        <v>0</v>
      </c>
      <c r="Q25" s="359">
        <f>+'Waiver 6'!E135</f>
        <v>0</v>
      </c>
    </row>
    <row r="26" spans="1:25" ht="15" customHeight="1" x14ac:dyDescent="0.25">
      <c r="B26" s="538" t="str">
        <f>+'Car Parking'!A1</f>
        <v>City Plan Policy 3, Section 4 - Carparking</v>
      </c>
      <c r="C26" s="539"/>
      <c r="D26" s="539"/>
      <c r="E26" s="552"/>
      <c r="F26" s="472">
        <f>+ROUND($H$14*'June 2009 Summary'!F25,0)</f>
        <v>0</v>
      </c>
      <c r="G26" s="472">
        <f t="shared" si="0"/>
        <v>0</v>
      </c>
      <c r="H26" s="473">
        <f>+ROUND(P26-Q26,0)</f>
        <v>0</v>
      </c>
      <c r="I26" s="522">
        <f>+$D$14</f>
        <v>45627</v>
      </c>
      <c r="J26" s="362">
        <f>+'June 2009 Summary'!J25</f>
        <v>0</v>
      </c>
      <c r="M26" s="341"/>
      <c r="N26" s="341"/>
      <c r="O26" s="353">
        <v>0</v>
      </c>
      <c r="P26" s="354">
        <f>+F26</f>
        <v>0</v>
      </c>
      <c r="Q26" s="353"/>
    </row>
    <row r="27" spans="1:25" ht="15" customHeight="1" x14ac:dyDescent="0.25">
      <c r="B27" s="538" t="str">
        <f>+Roads!A1</f>
        <v>City Plan Policy 2, Section 5 - Road Network Headworks</v>
      </c>
      <c r="C27" s="539"/>
      <c r="D27" s="539"/>
      <c r="E27" s="539"/>
      <c r="F27" s="477"/>
      <c r="G27" s="477"/>
      <c r="H27" s="478"/>
      <c r="I27" s="525"/>
      <c r="J27" s="362"/>
      <c r="O27" s="363"/>
      <c r="P27" s="361"/>
      <c r="Q27" s="363"/>
    </row>
    <row r="28" spans="1:25" ht="15" customHeight="1" x14ac:dyDescent="0.25">
      <c r="B28" s="364"/>
      <c r="C28" s="351" t="str">
        <f>+Roads!D35</f>
        <v>TCC Works</v>
      </c>
      <c r="D28" s="365"/>
      <c r="E28" s="365"/>
      <c r="F28" s="472">
        <f>+ROUND($H$14*'June 2009 Summary'!F27,0)</f>
        <v>0</v>
      </c>
      <c r="G28" s="472">
        <f t="shared" si="0"/>
        <v>0</v>
      </c>
      <c r="H28" s="473">
        <f>+ROUND(P28-Q28,0)</f>
        <v>0</v>
      </c>
      <c r="I28" s="522">
        <f>+$D$14</f>
        <v>45627</v>
      </c>
      <c r="J28" s="355" t="str">
        <f>+'June 2009 Summary'!J27</f>
        <v>CON110</v>
      </c>
      <c r="O28" s="353">
        <f>+$H$14*'June 2009 Summary'!G27</f>
        <v>0</v>
      </c>
      <c r="P28" s="354">
        <f>+F28-O28</f>
        <v>0</v>
      </c>
      <c r="Q28" s="353">
        <f>+IF('Waiver 6'!$E$134=0,0,P28/($P$28+$P$29)*('Waiver 6'!$E$134))</f>
        <v>0</v>
      </c>
    </row>
    <row r="29" spans="1:25" ht="15" customHeight="1" x14ac:dyDescent="0.25">
      <c r="B29" s="364"/>
      <c r="C29" s="351" t="str">
        <f>+Roads!D36</f>
        <v>TCC Land</v>
      </c>
      <c r="D29" s="365"/>
      <c r="E29" s="365"/>
      <c r="F29" s="472">
        <f>+ROUND($D$16/'June 2009 Summary'!$D$15*'June 2009 Summary'!F28,0)</f>
        <v>0</v>
      </c>
      <c r="G29" s="472">
        <f t="shared" si="0"/>
        <v>0</v>
      </c>
      <c r="H29" s="473">
        <f>+ROUND(P29-Q29,0)</f>
        <v>0</v>
      </c>
      <c r="I29" s="522">
        <f>+$D$14</f>
        <v>45627</v>
      </c>
      <c r="J29" s="355" t="str">
        <f>+'June 2009 Summary'!J28</f>
        <v>CON110</v>
      </c>
      <c r="O29" s="353">
        <f>+$D$16/'June 2009 Summary'!$D$15*'June 2009 Summary'!G28</f>
        <v>0</v>
      </c>
      <c r="P29" s="354">
        <f>+F29-O29</f>
        <v>0</v>
      </c>
      <c r="Q29" s="353">
        <f>+IF('Waiver 6'!$E$134=0,0,P29/($P$28+$P$29)*('Waiver 6'!$E$134))</f>
        <v>0</v>
      </c>
    </row>
    <row r="30" spans="1:25" ht="15" customHeight="1" x14ac:dyDescent="0.25">
      <c r="B30" s="364"/>
      <c r="C30" s="351" t="str">
        <f>+Roads!D37</f>
        <v>SCR Works</v>
      </c>
      <c r="D30" s="365"/>
      <c r="E30" s="365"/>
      <c r="F30" s="472">
        <f>+ROUND($H$14*'June 2009 Summary'!F29,0)</f>
        <v>0</v>
      </c>
      <c r="G30" s="472">
        <f t="shared" si="0"/>
        <v>0</v>
      </c>
      <c r="H30" s="473">
        <f>+ROUND(P30-Q30,0)</f>
        <v>0</v>
      </c>
      <c r="I30" s="522">
        <f>+$D$14</f>
        <v>45627</v>
      </c>
      <c r="J30" s="355" t="str">
        <f>+'June 2009 Summary'!J29</f>
        <v>CON210</v>
      </c>
      <c r="O30" s="353">
        <f>+$H$14*'June 2009 Summary'!G29</f>
        <v>0</v>
      </c>
      <c r="P30" s="354">
        <f>+F30-O30</f>
        <v>0</v>
      </c>
      <c r="Q30" s="353">
        <f>IF('Waiver 6'!C129="OK",Summary!P30,0)</f>
        <v>0</v>
      </c>
    </row>
    <row r="31" spans="1:25" ht="15" customHeight="1" x14ac:dyDescent="0.25">
      <c r="B31" s="366"/>
      <c r="C31" s="339" t="str">
        <f>+Roads!D38</f>
        <v>SCR Land</v>
      </c>
      <c r="D31" s="367"/>
      <c r="E31" s="367"/>
      <c r="F31" s="479">
        <f>+ROUND($D$16/'June 2009 Summary'!$D$15*'June 2009 Summary'!F30,0)</f>
        <v>0</v>
      </c>
      <c r="G31" s="479">
        <f t="shared" si="0"/>
        <v>0</v>
      </c>
      <c r="H31" s="473">
        <f>+ROUND(P31-Q31,0)</f>
        <v>0</v>
      </c>
      <c r="I31" s="522">
        <f>+$D$14</f>
        <v>45627</v>
      </c>
      <c r="J31" s="355" t="str">
        <f>+'June 2009 Summary'!J30</f>
        <v>CON210</v>
      </c>
      <c r="O31" s="353">
        <f>+$D$16/'June 2009 Summary'!$D$15*'June 2009 Summary'!G30</f>
        <v>0</v>
      </c>
      <c r="P31" s="354">
        <f>+F31-O31</f>
        <v>0</v>
      </c>
      <c r="Q31" s="353">
        <f>IF('Waiver 6'!C129="OK",Summary!P31,0)</f>
        <v>0</v>
      </c>
    </row>
    <row r="32" spans="1:25" ht="15" customHeight="1" x14ac:dyDescent="0.25">
      <c r="B32" s="538" t="str">
        <f>+'Storm Water'!A1</f>
        <v>City Plan Policy 2, Section 6 - Stormwater Drainage Headworks</v>
      </c>
      <c r="C32" s="539"/>
      <c r="D32" s="539"/>
      <c r="E32" s="539"/>
      <c r="F32" s="475">
        <f>+ROUND($H$14*'June 2009 Summary'!F31,0)</f>
        <v>0</v>
      </c>
      <c r="G32" s="475">
        <f t="shared" si="0"/>
        <v>0</v>
      </c>
      <c r="H32" s="476">
        <f>+ROUND(P32-Q32,0)</f>
        <v>0</v>
      </c>
      <c r="I32" s="524">
        <f>+$D$14</f>
        <v>45627</v>
      </c>
      <c r="J32" s="368">
        <f>+'June 2009 Summary'!J31</f>
        <v>0</v>
      </c>
      <c r="M32" s="341"/>
      <c r="N32" s="341"/>
      <c r="O32" s="359">
        <v>0</v>
      </c>
      <c r="P32" s="380">
        <f>+F32</f>
        <v>0</v>
      </c>
      <c r="Q32" s="359">
        <f>+'Waiver 6'!E136</f>
        <v>0</v>
      </c>
      <c r="S32" s="357"/>
    </row>
    <row r="33" spans="1:21" ht="15" customHeight="1" x14ac:dyDescent="0.25">
      <c r="B33" s="369" t="s">
        <v>236</v>
      </c>
      <c r="C33" s="336"/>
      <c r="D33" s="336"/>
      <c r="E33" s="337"/>
      <c r="F33" s="480">
        <f>ROUND(SUM(F22:F32),0)</f>
        <v>0</v>
      </c>
      <c r="G33" s="481">
        <f t="shared" si="0"/>
        <v>0</v>
      </c>
      <c r="H33" s="482">
        <f>ROUND(SUM(H23:H32),0)</f>
        <v>0</v>
      </c>
      <c r="I33" s="471"/>
      <c r="J33" s="360"/>
      <c r="M33" s="341"/>
      <c r="N33" s="341"/>
      <c r="O33" s="370">
        <f>SUM(O22:O32)</f>
        <v>0</v>
      </c>
      <c r="P33" s="380">
        <f>SUM(P22:P32)</f>
        <v>0</v>
      </c>
      <c r="Q33" s="359">
        <f>SUM(Q23:Q32)</f>
        <v>0</v>
      </c>
      <c r="S33" s="357"/>
      <c r="U33" s="358"/>
    </row>
    <row r="34" spans="1:21" ht="6.75" customHeight="1" x14ac:dyDescent="0.25">
      <c r="H34" s="516"/>
      <c r="L34" s="341"/>
      <c r="M34" s="341"/>
      <c r="N34" s="341"/>
      <c r="O34" s="341"/>
      <c r="P34" s="341"/>
      <c r="S34" s="357"/>
      <c r="U34" s="358"/>
    </row>
    <row r="35" spans="1:21" ht="13.2" x14ac:dyDescent="0.25">
      <c r="B35" s="371"/>
      <c r="L35" s="372"/>
      <c r="M35" s="372"/>
      <c r="N35" s="372"/>
      <c r="O35" s="372"/>
      <c r="P35" s="372"/>
      <c r="S35" s="357"/>
      <c r="U35" s="358"/>
    </row>
    <row r="36" spans="1:21" ht="13.2" x14ac:dyDescent="0.25">
      <c r="B36" s="112"/>
      <c r="H36" s="507"/>
      <c r="L36" s="373"/>
      <c r="M36" s="373"/>
      <c r="N36" s="373"/>
      <c r="O36" s="373"/>
      <c r="P36" s="373"/>
      <c r="S36" s="357"/>
    </row>
    <row r="37" spans="1:21" ht="36" customHeight="1" x14ac:dyDescent="0.25">
      <c r="A37" s="374"/>
      <c r="C37" s="488"/>
      <c r="D37" s="488"/>
      <c r="E37" s="71"/>
      <c r="F37" s="71"/>
      <c r="G37" s="71"/>
      <c r="H37" s="77"/>
      <c r="I37" s="77"/>
      <c r="J37" s="77"/>
      <c r="S37" s="375"/>
    </row>
    <row r="38" spans="1:21" ht="25.5" customHeight="1" x14ac:dyDescent="0.25">
      <c r="A38" s="374"/>
      <c r="E38" s="71"/>
      <c r="F38" s="71"/>
      <c r="G38" s="71"/>
      <c r="I38" s="496"/>
      <c r="J38" s="496"/>
    </row>
    <row r="39" spans="1:21" ht="22.5" customHeight="1" x14ac:dyDescent="0.25">
      <c r="E39" s="71"/>
      <c r="F39" s="71"/>
      <c r="G39" s="71"/>
      <c r="H39" s="71"/>
      <c r="I39" s="71"/>
      <c r="J39" s="71"/>
    </row>
    <row r="40" spans="1:21" ht="20.100000000000001" customHeight="1" x14ac:dyDescent="0.25">
      <c r="I40" s="342"/>
      <c r="J40" s="342"/>
    </row>
    <row r="41" spans="1:21" ht="20.100000000000001" customHeight="1" x14ac:dyDescent="0.25">
      <c r="D41" s="302"/>
      <c r="E41" s="485"/>
    </row>
    <row r="42" spans="1:21" ht="20.100000000000001" customHeight="1" x14ac:dyDescent="0.25">
      <c r="D42" s="302"/>
      <c r="E42" s="485"/>
    </row>
    <row r="43" spans="1:21" ht="20.100000000000001" customHeight="1" x14ac:dyDescent="0.25">
      <c r="D43" s="302"/>
      <c r="E43" s="485"/>
    </row>
    <row r="44" spans="1:21" ht="20.100000000000001" customHeight="1" x14ac:dyDescent="0.25">
      <c r="D44" s="302"/>
      <c r="E44" s="485"/>
    </row>
  </sheetData>
  <sheetProtection algorithmName="SHA-512" hashValue="CKCC20Ds5+RFasuiceipLCHAMyKFJIGzBma/e+qS6rbWYnlvuGDtBpeV4bCCs4sL0SML+/64pm0eTggH6YR+0A==" saltValue="VfHqeudn+wBpLe+UIEPbIQ==" spinCount="100000" sheet="1" objects="1" scenarios="1"/>
  <customSheetViews>
    <customSheetView guid="{27B7C317-A4C8-4AFE-A1B4-96A5038E57EE}" scale="80" fitToPage="1" hiddenRows="1" showRuler="0">
      <selection activeCell="E5" sqref="E5:J5"/>
      <pageMargins left="0.75" right="0.75" top="1" bottom="1" header="0.5" footer="0.5"/>
      <pageSetup paperSize="9" scale="71" orientation="portrait" r:id="rId1"/>
      <headerFooter alignWithMargins="0"/>
    </customSheetView>
  </customSheetViews>
  <mergeCells count="20">
    <mergeCell ref="B32:E32"/>
    <mergeCell ref="E8:J8"/>
    <mergeCell ref="E9:J9"/>
    <mergeCell ref="E10:J10"/>
    <mergeCell ref="B13:C13"/>
    <mergeCell ref="B27:E27"/>
    <mergeCell ref="B25:E25"/>
    <mergeCell ref="B26:E26"/>
    <mergeCell ref="B21:E21"/>
    <mergeCell ref="E7:J7"/>
    <mergeCell ref="H21:I21"/>
    <mergeCell ref="B22:E22"/>
    <mergeCell ref="B4:D4"/>
    <mergeCell ref="E4:J4"/>
    <mergeCell ref="E5:J5"/>
    <mergeCell ref="E6:J6"/>
    <mergeCell ref="B14:C14"/>
    <mergeCell ref="B16:C16"/>
    <mergeCell ref="B17:C17"/>
    <mergeCell ref="B15:C15"/>
  </mergeCells>
  <phoneticPr fontId="4" type="noConversion"/>
  <pageMargins left="0.74803149606299213" right="0.74803149606299213" top="0.98425196850393704" bottom="0.98425196850393704" header="0.51181102362204722" footer="0.51181102362204722"/>
  <pageSetup paperSize="9" scale="85" orientation="landscape" blackAndWhite="1"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48"/>
  <sheetViews>
    <sheetView zoomScale="75" workbookViewId="0">
      <selection activeCell="E5" sqref="E5:J5"/>
    </sheetView>
  </sheetViews>
  <sheetFormatPr defaultColWidth="9.109375" defaultRowHeight="20.100000000000001" customHeight="1" x14ac:dyDescent="0.2"/>
  <cols>
    <col min="1" max="1" width="3" style="71" customWidth="1"/>
    <col min="2" max="2" width="6.6640625" style="71" customWidth="1"/>
    <col min="3" max="3" width="8" style="71" customWidth="1"/>
    <col min="4" max="4" width="14.33203125" style="71" customWidth="1"/>
    <col min="5" max="5" width="37.44140625" style="71" customWidth="1"/>
    <col min="6" max="8" width="15.109375" style="71" customWidth="1"/>
    <col min="9" max="10" width="12.6640625" style="71" customWidth="1"/>
    <col min="11" max="11" width="4.44140625" style="71" customWidth="1"/>
    <col min="12" max="12" width="7.33203125" style="71" customWidth="1"/>
    <col min="13" max="13" width="9.88671875" style="71" customWidth="1"/>
    <col min="14" max="14" width="9.5546875" style="71" customWidth="1"/>
    <col min="15" max="16" width="16.33203125" style="71" customWidth="1"/>
    <col min="17" max="17" width="11.33203125" style="71" customWidth="1"/>
    <col min="18" max="18" width="16.44140625" style="71" customWidth="1"/>
    <col min="19" max="19" width="11.33203125" style="71" customWidth="1"/>
    <col min="20" max="20" width="7" style="71" customWidth="1"/>
    <col min="21" max="21" width="8.109375" style="71" customWidth="1"/>
    <col min="22" max="22" width="5.88671875" style="71" customWidth="1"/>
    <col min="23" max="23" width="6.33203125" style="71" customWidth="1"/>
    <col min="24" max="16384" width="9.109375" style="71"/>
  </cols>
  <sheetData>
    <row r="1" spans="1:11" ht="20.100000000000001" customHeight="1" x14ac:dyDescent="0.3">
      <c r="A1" s="69" t="s">
        <v>307</v>
      </c>
      <c r="B1" s="70"/>
      <c r="C1" s="70"/>
      <c r="D1" s="70"/>
      <c r="E1" s="70"/>
      <c r="F1" s="70"/>
      <c r="G1" s="70"/>
      <c r="H1" s="70"/>
      <c r="I1" s="70"/>
      <c r="J1" s="70"/>
    </row>
    <row r="2" spans="1:11" ht="20.100000000000001" customHeight="1" x14ac:dyDescent="0.25">
      <c r="A2" s="70"/>
      <c r="B2" s="70"/>
      <c r="C2" s="70"/>
      <c r="D2" s="70"/>
      <c r="E2" s="70"/>
      <c r="F2" s="70"/>
      <c r="G2" s="70"/>
      <c r="H2" s="70"/>
      <c r="I2" s="70"/>
      <c r="J2" s="70"/>
    </row>
    <row r="3" spans="1:11" ht="20.100000000000001" customHeight="1" x14ac:dyDescent="0.25">
      <c r="A3" s="70">
        <v>1</v>
      </c>
      <c r="B3" s="72" t="s">
        <v>292</v>
      </c>
      <c r="C3" s="72"/>
      <c r="D3" s="70"/>
      <c r="E3" s="70"/>
      <c r="F3" s="70"/>
      <c r="G3" s="70"/>
      <c r="H3" s="70"/>
      <c r="I3" s="70"/>
      <c r="J3" s="70"/>
    </row>
    <row r="4" spans="1:11" ht="20.100000000000001" customHeight="1" x14ac:dyDescent="0.25">
      <c r="A4" s="70"/>
      <c r="B4" s="559" t="s">
        <v>233</v>
      </c>
      <c r="C4" s="560"/>
      <c r="D4" s="561"/>
      <c r="E4" s="559" t="s">
        <v>292</v>
      </c>
      <c r="F4" s="560"/>
      <c r="G4" s="560"/>
      <c r="H4" s="560"/>
      <c r="I4" s="560"/>
      <c r="J4" s="561"/>
    </row>
    <row r="5" spans="1:11" ht="20.100000000000001" customHeight="1" x14ac:dyDescent="0.25">
      <c r="A5" s="70"/>
      <c r="B5" s="22" t="s">
        <v>293</v>
      </c>
      <c r="C5" s="23"/>
      <c r="D5" s="24"/>
      <c r="E5" s="562"/>
      <c r="F5" s="557"/>
      <c r="G5" s="557"/>
      <c r="H5" s="557"/>
      <c r="I5" s="557"/>
      <c r="J5" s="558"/>
    </row>
    <row r="6" spans="1:11" ht="20.100000000000001" customHeight="1" x14ac:dyDescent="0.25">
      <c r="A6" s="70"/>
      <c r="B6" s="25" t="s">
        <v>294</v>
      </c>
      <c r="C6" s="26"/>
      <c r="D6" s="27"/>
      <c r="E6" s="562"/>
      <c r="F6" s="557"/>
      <c r="G6" s="557"/>
      <c r="H6" s="557"/>
      <c r="I6" s="557"/>
      <c r="J6" s="558"/>
    </row>
    <row r="7" spans="1:11" ht="20.100000000000001" customHeight="1" x14ac:dyDescent="0.25">
      <c r="A7" s="70"/>
      <c r="B7" s="25" t="s">
        <v>295</v>
      </c>
      <c r="C7" s="26"/>
      <c r="D7" s="27"/>
      <c r="E7" s="556"/>
      <c r="F7" s="557"/>
      <c r="G7" s="557"/>
      <c r="H7" s="557"/>
      <c r="I7" s="557"/>
      <c r="J7" s="558"/>
    </row>
    <row r="8" spans="1:11" ht="20.100000000000001" customHeight="1" x14ac:dyDescent="0.25">
      <c r="A8" s="70"/>
      <c r="B8" s="28" t="s">
        <v>296</v>
      </c>
      <c r="C8" s="29"/>
      <c r="D8" s="30"/>
      <c r="E8" s="562"/>
      <c r="F8" s="557"/>
      <c r="G8" s="557"/>
      <c r="H8" s="557"/>
      <c r="I8" s="557"/>
      <c r="J8" s="558"/>
    </row>
    <row r="9" spans="1:11" ht="20.100000000000001" customHeight="1" x14ac:dyDescent="0.25">
      <c r="A9" s="70"/>
      <c r="B9" s="28" t="s">
        <v>297</v>
      </c>
      <c r="C9" s="29"/>
      <c r="D9" s="30"/>
      <c r="E9" s="556"/>
      <c r="F9" s="557"/>
      <c r="G9" s="557"/>
      <c r="H9" s="557"/>
      <c r="I9" s="557"/>
      <c r="J9" s="558"/>
    </row>
    <row r="10" spans="1:11" ht="20.100000000000001" customHeight="1" x14ac:dyDescent="0.25">
      <c r="A10" s="70"/>
      <c r="B10" s="28" t="s">
        <v>298</v>
      </c>
      <c r="C10" s="29"/>
      <c r="D10" s="30"/>
      <c r="E10" s="562"/>
      <c r="F10" s="557"/>
      <c r="G10" s="557"/>
      <c r="H10" s="557"/>
      <c r="I10" s="557"/>
      <c r="J10" s="558"/>
    </row>
    <row r="11" spans="1:11" ht="20.100000000000001" customHeight="1" x14ac:dyDescent="0.25">
      <c r="A11" s="70"/>
      <c r="B11" s="70"/>
      <c r="C11" s="70"/>
      <c r="D11" s="70"/>
      <c r="E11" s="70"/>
      <c r="F11" s="70"/>
      <c r="G11" s="70"/>
      <c r="H11" s="70"/>
      <c r="I11" s="70"/>
      <c r="J11" s="70"/>
      <c r="K11" s="73"/>
    </row>
    <row r="12" spans="1:11" ht="20.100000000000001" customHeight="1" x14ac:dyDescent="0.25">
      <c r="A12" s="70">
        <v>2</v>
      </c>
      <c r="B12" s="72" t="s">
        <v>299</v>
      </c>
      <c r="C12" s="70"/>
      <c r="D12" s="70"/>
      <c r="E12" s="70"/>
      <c r="F12" s="70"/>
      <c r="G12" s="70"/>
      <c r="H12" s="70"/>
      <c r="I12" s="70"/>
      <c r="J12" s="70"/>
      <c r="K12" s="73"/>
    </row>
    <row r="13" spans="1:11" ht="20.100000000000001" customHeight="1" x14ac:dyDescent="0.25">
      <c r="A13" s="70"/>
      <c r="B13" s="570" t="s">
        <v>233</v>
      </c>
      <c r="C13" s="571"/>
      <c r="D13" s="31" t="s">
        <v>300</v>
      </c>
      <c r="E13" s="70"/>
      <c r="F13" s="70"/>
      <c r="G13" s="70"/>
      <c r="H13" s="70"/>
      <c r="I13" s="70"/>
      <c r="J13" s="70"/>
      <c r="K13" s="73"/>
    </row>
    <row r="14" spans="1:11" ht="20.100000000000001" customHeight="1" x14ac:dyDescent="0.25">
      <c r="A14" s="70"/>
      <c r="B14" s="572" t="s">
        <v>301</v>
      </c>
      <c r="C14" s="573"/>
      <c r="D14" s="328" t="s">
        <v>437</v>
      </c>
      <c r="E14" s="70"/>
      <c r="F14" s="70"/>
      <c r="G14" s="70"/>
      <c r="H14" s="70"/>
      <c r="I14" s="70"/>
      <c r="J14" s="70"/>
    </row>
    <row r="15" spans="1:11" ht="20.100000000000001" customHeight="1" x14ac:dyDescent="0.25">
      <c r="A15" s="70"/>
      <c r="B15" s="563" t="s">
        <v>303</v>
      </c>
      <c r="C15" s="564"/>
      <c r="D15" s="329">
        <v>92.9</v>
      </c>
      <c r="E15" s="70"/>
      <c r="F15" s="70"/>
      <c r="G15" s="70"/>
      <c r="H15" s="70"/>
      <c r="I15" s="70"/>
      <c r="J15" s="70"/>
    </row>
    <row r="16" spans="1:11" s="74" customFormat="1" ht="20.100000000000001" customHeight="1" x14ac:dyDescent="0.25">
      <c r="A16" s="70"/>
      <c r="B16" s="565" t="s">
        <v>151</v>
      </c>
      <c r="C16" s="566"/>
      <c r="D16" s="330">
        <v>95.2</v>
      </c>
      <c r="E16" s="70"/>
      <c r="F16" s="70"/>
      <c r="G16" s="70"/>
      <c r="H16" s="70"/>
      <c r="I16" s="70"/>
      <c r="J16" s="70"/>
      <c r="K16" s="73"/>
    </row>
    <row r="17" spans="1:25" s="74" customFormat="1" ht="20.100000000000001" customHeight="1" x14ac:dyDescent="0.25">
      <c r="A17" s="70"/>
      <c r="B17" s="75" t="s">
        <v>304</v>
      </c>
      <c r="C17" s="70"/>
      <c r="D17" s="70"/>
      <c r="E17" s="70"/>
      <c r="F17" s="70"/>
      <c r="G17" s="70"/>
      <c r="H17" s="70"/>
      <c r="I17" s="70"/>
      <c r="J17" s="70"/>
      <c r="K17" s="73"/>
      <c r="S17" s="76"/>
    </row>
    <row r="18" spans="1:25" s="74" customFormat="1" ht="20.100000000000001" customHeight="1" x14ac:dyDescent="0.25">
      <c r="A18" s="70"/>
      <c r="B18" s="75"/>
      <c r="C18" s="70"/>
      <c r="D18" s="70"/>
      <c r="E18" s="70"/>
      <c r="F18" s="70"/>
      <c r="G18" s="70"/>
      <c r="H18" s="70"/>
      <c r="I18" s="70"/>
      <c r="J18" s="70"/>
      <c r="K18" s="73"/>
      <c r="S18" s="76"/>
    </row>
    <row r="19" spans="1:25" s="74" customFormat="1" ht="20.100000000000001" customHeight="1" x14ac:dyDescent="0.25">
      <c r="A19" s="77">
        <v>3</v>
      </c>
      <c r="B19" s="72" t="s">
        <v>305</v>
      </c>
      <c r="C19" s="78"/>
      <c r="D19" s="79"/>
      <c r="E19" s="79"/>
      <c r="F19" s="80"/>
      <c r="G19" s="80"/>
      <c r="H19" s="80"/>
      <c r="I19" s="79"/>
      <c r="J19" s="80"/>
      <c r="K19" s="73"/>
      <c r="S19" s="76"/>
    </row>
    <row r="20" spans="1:25" s="74" customFormat="1" ht="36" customHeight="1" x14ac:dyDescent="0.25">
      <c r="A20" s="77"/>
      <c r="B20" s="567" t="s">
        <v>305</v>
      </c>
      <c r="C20" s="568"/>
      <c r="D20" s="568"/>
      <c r="E20" s="569"/>
      <c r="F20" s="275" t="s">
        <v>539</v>
      </c>
      <c r="G20" s="32" t="s">
        <v>538</v>
      </c>
      <c r="H20" s="576" t="s">
        <v>540</v>
      </c>
      <c r="I20" s="577"/>
      <c r="J20" s="32" t="s">
        <v>306</v>
      </c>
      <c r="S20" s="76"/>
    </row>
    <row r="21" spans="1:25" s="74" customFormat="1" ht="24" customHeight="1" x14ac:dyDescent="0.25">
      <c r="A21" s="77"/>
      <c r="B21" s="578" t="str">
        <f>+'Sewer &amp; Water'!A1</f>
        <v>City Plan Policy 3, Section 2 - Headworks</v>
      </c>
      <c r="C21" s="579"/>
      <c r="D21" s="579"/>
      <c r="E21" s="579"/>
      <c r="F21" s="48"/>
      <c r="G21" s="281"/>
      <c r="H21" s="277"/>
      <c r="I21" s="33"/>
      <c r="J21" s="160"/>
      <c r="S21" s="76"/>
    </row>
    <row r="22" spans="1:25" s="74" customFormat="1" ht="24" customHeight="1" x14ac:dyDescent="0.25">
      <c r="A22" s="79"/>
      <c r="B22" s="34"/>
      <c r="C22" s="35" t="str">
        <f>+'Sewer &amp; Water'!D36</f>
        <v>(Sewer)</v>
      </c>
      <c r="D22" s="36"/>
      <c r="E22" s="35"/>
      <c r="F22" s="46">
        <f>MAX('Sewer &amp; Water'!C36,0)</f>
        <v>0</v>
      </c>
      <c r="G22" s="282" t="s">
        <v>104</v>
      </c>
      <c r="H22" s="278">
        <f>+F22</f>
        <v>0</v>
      </c>
      <c r="I22" s="38" t="str">
        <f>+'Sewer &amp; Water'!D38</f>
        <v>Jun '09</v>
      </c>
      <c r="J22" s="161" t="s">
        <v>316</v>
      </c>
      <c r="K22" s="71"/>
      <c r="L22" s="71"/>
      <c r="M22" s="71"/>
      <c r="N22" s="71"/>
      <c r="S22" s="76"/>
    </row>
    <row r="23" spans="1:25" ht="24" customHeight="1" x14ac:dyDescent="0.25">
      <c r="A23" s="79"/>
      <c r="B23" s="28"/>
      <c r="C23" s="29" t="str">
        <f>+'Sewer &amp; Water'!D37</f>
        <v>(water)</v>
      </c>
      <c r="D23" s="36"/>
      <c r="E23" s="29"/>
      <c r="F23" s="49">
        <f>MAX('Sewer &amp; Water'!C37,0)</f>
        <v>0</v>
      </c>
      <c r="G23" s="282" t="s">
        <v>104</v>
      </c>
      <c r="H23" s="279">
        <f>+F23</f>
        <v>0</v>
      </c>
      <c r="I23" s="37" t="str">
        <f>+I22</f>
        <v>Jun '09</v>
      </c>
      <c r="J23" s="162" t="s">
        <v>317</v>
      </c>
      <c r="S23" s="81"/>
      <c r="U23" s="82"/>
      <c r="W23" s="82"/>
      <c r="Y23" s="82"/>
    </row>
    <row r="24" spans="1:25" ht="24" customHeight="1" x14ac:dyDescent="0.25">
      <c r="A24" s="70"/>
      <c r="B24" s="581" t="str">
        <f>+'Open Space'!A1</f>
        <v>City Plan Policy 2, Section 3 - Public Open Space</v>
      </c>
      <c r="C24" s="582"/>
      <c r="D24" s="582"/>
      <c r="E24" s="583"/>
      <c r="F24" s="39">
        <f>MAX('Open Space'!C17,0)</f>
        <v>0</v>
      </c>
      <c r="G24" s="284" t="s">
        <v>104</v>
      </c>
      <c r="H24" s="39">
        <f>+F24</f>
        <v>0</v>
      </c>
      <c r="I24" s="40" t="str">
        <f>+'Open Space'!D17</f>
        <v>Jun '09</v>
      </c>
      <c r="J24" s="163" t="s">
        <v>318</v>
      </c>
      <c r="K24" s="73"/>
      <c r="L24" s="73"/>
      <c r="M24" s="73"/>
      <c r="N24" s="73"/>
      <c r="O24" s="73"/>
    </row>
    <row r="25" spans="1:25" ht="24" customHeight="1" x14ac:dyDescent="0.25">
      <c r="A25" s="70"/>
      <c r="B25" s="578" t="str">
        <f>+'Car Parking'!A1</f>
        <v>City Plan Policy 3, Section 4 - Carparking</v>
      </c>
      <c r="C25" s="579"/>
      <c r="D25" s="579"/>
      <c r="E25" s="580"/>
      <c r="F25" s="203">
        <f>MAX('Car Parking'!C18,0)</f>
        <v>0</v>
      </c>
      <c r="G25" s="282" t="s">
        <v>104</v>
      </c>
      <c r="H25" s="203">
        <f>+F25</f>
        <v>0</v>
      </c>
      <c r="I25" s="42" t="str">
        <f>+'Car Parking'!K14</f>
        <v>Jun '09</v>
      </c>
      <c r="J25" s="164">
        <f>+'Car Parking'!L14</f>
        <v>0</v>
      </c>
      <c r="K25" s="73"/>
      <c r="L25" s="73"/>
      <c r="M25" s="73"/>
      <c r="N25" s="73"/>
      <c r="O25" s="73"/>
    </row>
    <row r="26" spans="1:25" ht="24" customHeight="1" x14ac:dyDescent="0.25">
      <c r="A26" s="70"/>
      <c r="B26" s="578" t="str">
        <f>+Roads!A1</f>
        <v>City Plan Policy 2, Section 5 - Road Network Headworks</v>
      </c>
      <c r="C26" s="579"/>
      <c r="D26" s="579"/>
      <c r="E26" s="579"/>
      <c r="F26" s="43"/>
      <c r="G26" s="283"/>
      <c r="H26" s="203"/>
      <c r="I26" s="42"/>
      <c r="J26" s="164"/>
    </row>
    <row r="27" spans="1:25" ht="24" customHeight="1" x14ac:dyDescent="0.25">
      <c r="A27" s="70"/>
      <c r="B27" s="205"/>
      <c r="C27" s="35" t="str">
        <f>+Roads!D35</f>
        <v>TCC Works</v>
      </c>
      <c r="D27" s="206"/>
      <c r="E27" s="206"/>
      <c r="F27" s="46">
        <f>+Roads!C35</f>
        <v>0</v>
      </c>
      <c r="G27" s="282">
        <f>+'Waiver 1, 2 and 3'!C68</f>
        <v>0</v>
      </c>
      <c r="H27" s="278">
        <f>+F27-G27</f>
        <v>0</v>
      </c>
      <c r="I27" s="38" t="str">
        <f>+Roads!L28</f>
        <v>Jun '09</v>
      </c>
      <c r="J27" s="161" t="str">
        <f>+Roads!M28</f>
        <v>CON110</v>
      </c>
    </row>
    <row r="28" spans="1:25" ht="24" customHeight="1" x14ac:dyDescent="0.25">
      <c r="A28" s="70"/>
      <c r="B28" s="205"/>
      <c r="C28" s="35" t="str">
        <f>+Roads!D36</f>
        <v>TCC Land</v>
      </c>
      <c r="D28" s="206"/>
      <c r="E28" s="206"/>
      <c r="F28" s="46">
        <f>+Roads!C36</f>
        <v>0</v>
      </c>
      <c r="G28" s="282">
        <f>+'Waiver 1, 2 and 3'!C69</f>
        <v>0</v>
      </c>
      <c r="H28" s="278">
        <f>+F28-G28</f>
        <v>0</v>
      </c>
      <c r="I28" s="38" t="str">
        <f>+Roads!L29</f>
        <v>Jun '09</v>
      </c>
      <c r="J28" s="161" t="str">
        <f>+Roads!M29</f>
        <v>CON110</v>
      </c>
    </row>
    <row r="29" spans="1:25" ht="24" customHeight="1" x14ac:dyDescent="0.25">
      <c r="A29" s="70"/>
      <c r="B29" s="205"/>
      <c r="C29" s="35" t="str">
        <f>+Roads!D37</f>
        <v>SCR Works</v>
      </c>
      <c r="D29" s="206"/>
      <c r="E29" s="206"/>
      <c r="F29" s="46">
        <f>+Roads!C37</f>
        <v>0</v>
      </c>
      <c r="G29" s="282">
        <f>+'Waiver 1, 2 and 3'!C70</f>
        <v>0</v>
      </c>
      <c r="H29" s="278">
        <f>+F29-G29</f>
        <v>0</v>
      </c>
      <c r="I29" s="38" t="str">
        <f>+Roads!L30</f>
        <v>Jun '09</v>
      </c>
      <c r="J29" s="161" t="str">
        <f>+Roads!M30</f>
        <v>CON210</v>
      </c>
    </row>
    <row r="30" spans="1:25" ht="24" customHeight="1" x14ac:dyDescent="0.25">
      <c r="A30" s="70"/>
      <c r="B30" s="207"/>
      <c r="C30" s="29" t="str">
        <f>+Roads!D38</f>
        <v>SCR Land</v>
      </c>
      <c r="D30" s="208"/>
      <c r="E30" s="208"/>
      <c r="F30" s="209">
        <f>+Roads!C38</f>
        <v>0</v>
      </c>
      <c r="G30" s="282">
        <f>+'Waiver 1, 2 and 3'!C71</f>
        <v>0</v>
      </c>
      <c r="H30" s="278">
        <f>+F30-G30</f>
        <v>0</v>
      </c>
      <c r="I30" s="40" t="str">
        <f>+Roads!L31</f>
        <v>Jun '09</v>
      </c>
      <c r="J30" s="161" t="str">
        <f>+Roads!M31</f>
        <v>CON210</v>
      </c>
    </row>
    <row r="31" spans="1:25" ht="24" customHeight="1" x14ac:dyDescent="0.25">
      <c r="A31" s="70"/>
      <c r="B31" s="578" t="str">
        <f>+'Storm Water'!A1</f>
        <v>City Plan Policy 2, Section 6 - Stormwater Drainage Headworks</v>
      </c>
      <c r="C31" s="579"/>
      <c r="D31" s="579"/>
      <c r="E31" s="579"/>
      <c r="F31" s="47">
        <f>MAX('Storm Water'!C30,0)</f>
        <v>0</v>
      </c>
      <c r="G31" s="284" t="s">
        <v>104</v>
      </c>
      <c r="H31" s="280">
        <f>+F31</f>
        <v>0</v>
      </c>
      <c r="I31" s="41" t="str">
        <f>+'Storm Water'!D30</f>
        <v>Jun '09</v>
      </c>
      <c r="J31" s="165">
        <f>+'Storm Water'!K26</f>
        <v>0</v>
      </c>
      <c r="L31" s="73"/>
      <c r="M31" s="73"/>
      <c r="N31" s="73"/>
      <c r="O31" s="73"/>
      <c r="P31" s="73"/>
      <c r="S31" s="81"/>
    </row>
    <row r="32" spans="1:25" ht="24" customHeight="1" x14ac:dyDescent="0.25">
      <c r="A32" s="70"/>
      <c r="B32" s="44" t="s">
        <v>236</v>
      </c>
      <c r="C32" s="26"/>
      <c r="D32" s="26"/>
      <c r="E32" s="27"/>
      <c r="F32" s="45">
        <f>SUM(F21:F31)</f>
        <v>0</v>
      </c>
      <c r="G32" s="45">
        <f>SUM(G21:G31)</f>
        <v>0</v>
      </c>
      <c r="H32" s="45">
        <f>SUM(H21:H31)</f>
        <v>0</v>
      </c>
      <c r="I32" s="30"/>
      <c r="J32" s="163"/>
      <c r="L32" s="73"/>
      <c r="M32" s="73"/>
      <c r="N32" s="73"/>
      <c r="O32" s="73"/>
      <c r="P32" s="73"/>
      <c r="S32" s="81"/>
      <c r="U32" s="82"/>
    </row>
    <row r="33" spans="1:21" ht="13.8" x14ac:dyDescent="0.25">
      <c r="A33" s="70"/>
      <c r="B33" s="70"/>
      <c r="C33" s="70"/>
      <c r="D33" s="70"/>
      <c r="E33" s="70"/>
      <c r="F33" s="70"/>
      <c r="G33" s="70"/>
      <c r="H33" s="70"/>
      <c r="I33" s="70"/>
      <c r="J33" s="70"/>
      <c r="L33" s="73"/>
      <c r="M33" s="73"/>
      <c r="N33" s="73"/>
      <c r="O33" s="73"/>
      <c r="P33" s="73"/>
      <c r="S33" s="81"/>
      <c r="U33" s="82"/>
    </row>
    <row r="34" spans="1:21" ht="13.8" x14ac:dyDescent="0.25">
      <c r="A34" s="70"/>
      <c r="B34" s="83"/>
      <c r="C34" s="70"/>
      <c r="D34" s="70"/>
      <c r="E34" s="70"/>
      <c r="F34" s="70"/>
      <c r="G34" s="70"/>
      <c r="H34" s="70"/>
      <c r="I34" s="70"/>
      <c r="J34" s="70"/>
      <c r="L34" s="84"/>
      <c r="M34" s="84"/>
      <c r="N34" s="84"/>
      <c r="O34" s="84"/>
      <c r="P34" s="84"/>
      <c r="S34" s="81"/>
      <c r="U34" s="82"/>
    </row>
    <row r="35" spans="1:21" ht="13.8" x14ac:dyDescent="0.25">
      <c r="A35" s="70"/>
      <c r="B35" s="271"/>
      <c r="C35" s="272"/>
      <c r="D35" s="272"/>
      <c r="E35" s="272"/>
      <c r="F35" s="272"/>
      <c r="G35" s="272"/>
      <c r="H35" s="272"/>
      <c r="I35" s="272"/>
      <c r="J35" s="272"/>
      <c r="L35" s="85"/>
      <c r="M35" s="85"/>
      <c r="N35" s="85"/>
      <c r="O35" s="85"/>
      <c r="P35" s="85"/>
      <c r="S35" s="81"/>
    </row>
    <row r="36" spans="1:21" ht="78" customHeight="1" x14ac:dyDescent="0.2">
      <c r="A36" s="273"/>
      <c r="B36" s="574"/>
      <c r="C36" s="575"/>
      <c r="D36" s="575"/>
      <c r="E36" s="575"/>
      <c r="F36" s="575"/>
      <c r="G36" s="575"/>
      <c r="H36" s="575"/>
      <c r="I36" s="575"/>
      <c r="J36" s="575"/>
      <c r="S36" s="86"/>
    </row>
    <row r="37" spans="1:21" ht="66.75" customHeight="1" x14ac:dyDescent="0.2">
      <c r="A37" s="273"/>
      <c r="B37" s="574"/>
      <c r="C37" s="575"/>
      <c r="D37" s="575"/>
      <c r="E37" s="575"/>
      <c r="F37" s="575"/>
      <c r="G37" s="575"/>
      <c r="H37" s="575"/>
      <c r="I37" s="575"/>
      <c r="J37" s="575"/>
    </row>
    <row r="38" spans="1:21" ht="22.5" customHeight="1" x14ac:dyDescent="0.25">
      <c r="A38" s="70"/>
      <c r="B38" s="70"/>
      <c r="D38" s="70"/>
      <c r="E38" s="70"/>
      <c r="F38" s="70"/>
      <c r="G38" s="70"/>
      <c r="H38" s="70"/>
      <c r="I38" s="70"/>
      <c r="J38" s="70"/>
    </row>
    <row r="39" spans="1:21" ht="20.100000000000001" customHeight="1" x14ac:dyDescent="0.25">
      <c r="A39" s="70"/>
      <c r="B39" s="70"/>
      <c r="C39" s="326"/>
      <c r="D39" s="326"/>
      <c r="E39" s="326"/>
      <c r="F39" s="326"/>
      <c r="G39" s="326"/>
      <c r="H39" s="326"/>
      <c r="I39" s="326"/>
      <c r="J39" s="326"/>
    </row>
    <row r="40" spans="1:21" ht="20.100000000000001" customHeight="1" x14ac:dyDescent="0.25">
      <c r="A40" s="70"/>
      <c r="B40" s="70"/>
      <c r="C40" s="70"/>
      <c r="D40" s="70"/>
      <c r="E40" s="70"/>
      <c r="F40" s="70"/>
      <c r="G40" s="70"/>
      <c r="H40" s="70"/>
      <c r="I40" s="70"/>
      <c r="J40" s="70"/>
    </row>
    <row r="41" spans="1:21" ht="20.100000000000001" customHeight="1" x14ac:dyDescent="0.25">
      <c r="A41" s="70"/>
      <c r="B41" s="70"/>
      <c r="C41" s="70"/>
      <c r="D41" s="70"/>
      <c r="E41" s="70"/>
      <c r="F41" s="70"/>
      <c r="G41" s="70"/>
      <c r="H41" s="70"/>
      <c r="I41" s="70"/>
      <c r="J41" s="70"/>
    </row>
    <row r="42" spans="1:21" ht="20.100000000000001" customHeight="1" x14ac:dyDescent="0.25">
      <c r="A42" s="70"/>
      <c r="B42" s="70"/>
      <c r="C42" s="70"/>
      <c r="D42" s="70"/>
      <c r="E42" s="70"/>
      <c r="F42" s="70"/>
      <c r="G42" s="70"/>
      <c r="H42" s="70"/>
      <c r="I42" s="70"/>
      <c r="J42" s="70"/>
    </row>
    <row r="43" spans="1:21" ht="20.100000000000001" customHeight="1" x14ac:dyDescent="0.25">
      <c r="A43" s="70"/>
      <c r="B43" s="70"/>
      <c r="C43" s="70"/>
      <c r="D43" s="70"/>
      <c r="E43" s="70"/>
      <c r="F43" s="70"/>
      <c r="G43" s="70"/>
      <c r="H43" s="70"/>
      <c r="I43" s="70"/>
      <c r="J43" s="70"/>
    </row>
    <row r="44" spans="1:21" ht="20.100000000000001" customHeight="1" x14ac:dyDescent="0.25">
      <c r="A44" s="70"/>
      <c r="B44" s="70"/>
      <c r="C44" s="70"/>
      <c r="D44" s="70"/>
      <c r="E44" s="70"/>
      <c r="F44" s="70"/>
      <c r="G44" s="70"/>
      <c r="H44" s="70"/>
      <c r="I44" s="70"/>
      <c r="J44" s="70"/>
    </row>
    <row r="45" spans="1:21" ht="20.100000000000001" customHeight="1" x14ac:dyDescent="0.25">
      <c r="A45" s="70"/>
      <c r="B45" s="70"/>
      <c r="C45" s="70"/>
      <c r="D45" s="70"/>
      <c r="E45" s="70"/>
      <c r="F45" s="70"/>
      <c r="G45" s="70"/>
      <c r="H45" s="70"/>
      <c r="I45" s="70"/>
      <c r="J45" s="70"/>
    </row>
    <row r="46" spans="1:21" ht="20.100000000000001" customHeight="1" x14ac:dyDescent="0.25">
      <c r="A46" s="70"/>
      <c r="B46" s="70"/>
      <c r="C46" s="70"/>
      <c r="D46" s="70"/>
      <c r="E46" s="70"/>
      <c r="F46" s="70"/>
      <c r="G46" s="70"/>
      <c r="H46" s="70"/>
      <c r="I46" s="70"/>
      <c r="J46" s="70"/>
    </row>
    <row r="47" spans="1:21" ht="20.100000000000001" customHeight="1" x14ac:dyDescent="0.25">
      <c r="A47" s="70"/>
      <c r="B47" s="70"/>
      <c r="C47" s="70"/>
      <c r="D47" s="70"/>
      <c r="E47" s="70"/>
      <c r="F47" s="70"/>
      <c r="G47" s="70"/>
      <c r="H47" s="70"/>
      <c r="I47" s="70"/>
      <c r="J47" s="70"/>
    </row>
    <row r="48" spans="1:21" ht="20.100000000000001" customHeight="1" x14ac:dyDescent="0.25">
      <c r="A48" s="70"/>
      <c r="B48" s="70"/>
      <c r="C48" s="70"/>
      <c r="D48" s="70"/>
      <c r="E48" s="70"/>
      <c r="F48" s="70"/>
      <c r="G48" s="70"/>
      <c r="H48" s="70"/>
      <c r="I48" s="70"/>
      <c r="J48" s="70"/>
    </row>
  </sheetData>
  <sheetProtection password="CDF4" sheet="1" objects="1" scenarios="1"/>
  <customSheetViews>
    <customSheetView guid="{27B7C317-A4C8-4AFE-A1B4-96A5038E57EE}" scale="75" fitToPage="1" state="hidden" showRuler="0">
      <pageMargins left="0.75" right="0.75" top="1" bottom="1" header="0.5" footer="0.5"/>
      <pageSetup paperSize="9" scale="71" orientation="portrait" r:id="rId1"/>
      <headerFooter alignWithMargins="0"/>
    </customSheetView>
  </customSheetViews>
  <mergeCells count="21">
    <mergeCell ref="B37:J37"/>
    <mergeCell ref="H20:I20"/>
    <mergeCell ref="B36:J36"/>
    <mergeCell ref="B25:E25"/>
    <mergeCell ref="B26:E26"/>
    <mergeCell ref="B31:E31"/>
    <mergeCell ref="B21:E21"/>
    <mergeCell ref="B24:E24"/>
    <mergeCell ref="B15:C15"/>
    <mergeCell ref="B16:C16"/>
    <mergeCell ref="B20:E20"/>
    <mergeCell ref="E8:J8"/>
    <mergeCell ref="E9:J9"/>
    <mergeCell ref="E10:J10"/>
    <mergeCell ref="B13:C13"/>
    <mergeCell ref="B14:C14"/>
    <mergeCell ref="E7:J7"/>
    <mergeCell ref="B4:D4"/>
    <mergeCell ref="E4:J4"/>
    <mergeCell ref="E5:J5"/>
    <mergeCell ref="E6:J6"/>
  </mergeCells>
  <phoneticPr fontId="4" type="noConversion"/>
  <pageMargins left="0.75" right="0.75" top="1" bottom="1" header="0.5" footer="0.5"/>
  <pageSetup paperSize="9" scale="71" orientation="portrait"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K141"/>
  <sheetViews>
    <sheetView showGridLines="0" zoomScale="75" workbookViewId="0">
      <selection activeCell="J41" sqref="J41"/>
    </sheetView>
  </sheetViews>
  <sheetFormatPr defaultColWidth="9.109375" defaultRowHeight="13.2" x14ac:dyDescent="0.25"/>
  <cols>
    <col min="1" max="1" width="5.5546875" style="61" customWidth="1"/>
    <col min="2" max="2" width="15.5546875" style="61" customWidth="1"/>
    <col min="3" max="3" width="12.6640625" style="61" customWidth="1"/>
    <col min="4" max="4" width="7.6640625" style="61" customWidth="1"/>
    <col min="5" max="5" width="7.33203125" style="61" customWidth="1"/>
    <col min="6" max="10" width="9.109375" style="61"/>
    <col min="11" max="11" width="7" style="61" customWidth="1"/>
    <col min="12" max="12" width="12.44140625" style="61" customWidth="1"/>
    <col min="13" max="13" width="14.33203125" style="61" customWidth="1"/>
    <col min="14" max="14" width="8.33203125" style="61" customWidth="1"/>
    <col min="15" max="15" width="7.5546875" style="61" customWidth="1"/>
    <col min="16" max="16" width="8.6640625" style="61" customWidth="1"/>
    <col min="17" max="17" width="17.44140625" style="61" customWidth="1"/>
    <col min="18" max="19" width="9.109375" style="61"/>
    <col min="20" max="20" width="9.109375" style="61" hidden="1" customWidth="1"/>
    <col min="21" max="21" width="34.6640625" style="61" hidden="1" customWidth="1"/>
    <col min="22" max="22" width="9.109375" style="61" hidden="1" customWidth="1"/>
    <col min="23" max="29" width="9.109375" style="61"/>
    <col min="30" max="30" width="16.88671875" style="61" customWidth="1"/>
    <col min="31" max="31" width="10.33203125" style="61" customWidth="1"/>
    <col min="32" max="35" width="9.109375" style="61"/>
    <col min="36" max="36" width="12.88671875" style="61" customWidth="1"/>
    <col min="37" max="37" width="11.44140625" style="61" customWidth="1"/>
    <col min="38" max="16384" width="9.109375" style="61"/>
  </cols>
  <sheetData>
    <row r="1" spans="1:22" ht="15.6" x14ac:dyDescent="0.3">
      <c r="A1" s="141" t="s">
        <v>172</v>
      </c>
      <c r="N1" s="65" t="s">
        <v>438</v>
      </c>
    </row>
    <row r="2" spans="1:22" ht="15.6" x14ac:dyDescent="0.3">
      <c r="A2" s="141"/>
      <c r="N2" s="65"/>
    </row>
    <row r="3" spans="1:22" ht="15.6" x14ac:dyDescent="0.3">
      <c r="A3" s="141"/>
      <c r="N3" s="65"/>
    </row>
    <row r="4" spans="1:22" ht="15.6" x14ac:dyDescent="0.3">
      <c r="A4" s="141"/>
      <c r="N4" s="65"/>
    </row>
    <row r="5" spans="1:22" x14ac:dyDescent="0.25">
      <c r="E5" s="88"/>
      <c r="F5" s="88"/>
      <c r="G5" s="88"/>
      <c r="H5" s="88"/>
      <c r="I5" s="88"/>
      <c r="J5" s="88"/>
      <c r="K5" s="88"/>
    </row>
    <row r="6" spans="1:22" x14ac:dyDescent="0.25">
      <c r="A6" s="89" t="s">
        <v>171</v>
      </c>
      <c r="B6" s="90" t="s">
        <v>153</v>
      </c>
      <c r="T6" s="91">
        <v>3</v>
      </c>
    </row>
    <row r="8" spans="1:22" x14ac:dyDescent="0.25">
      <c r="A8" s="89" t="s">
        <v>162</v>
      </c>
      <c r="B8" s="90" t="s">
        <v>160</v>
      </c>
    </row>
    <row r="9" spans="1:22" x14ac:dyDescent="0.25">
      <c r="B9" s="540" t="s">
        <v>155</v>
      </c>
      <c r="C9" s="541"/>
      <c r="D9" s="541"/>
      <c r="E9" s="542"/>
      <c r="F9" s="4" t="s">
        <v>157</v>
      </c>
      <c r="G9" s="6"/>
      <c r="H9" s="7" t="s">
        <v>156</v>
      </c>
      <c r="I9" s="8" t="s">
        <v>177</v>
      </c>
      <c r="J9" s="7" t="s">
        <v>178</v>
      </c>
      <c r="L9" s="540" t="s">
        <v>235</v>
      </c>
      <c r="M9" s="541"/>
      <c r="N9" s="541"/>
      <c r="O9" s="541"/>
      <c r="P9" s="542"/>
    </row>
    <row r="10" spans="1:22" ht="15" customHeight="1" x14ac:dyDescent="0.25">
      <c r="F10" s="588" t="str">
        <f>INDEX($AD$82:$AD$123,T10)</f>
        <v xml:space="preserve"> </v>
      </c>
      <c r="G10" s="589"/>
      <c r="H10" s="218"/>
      <c r="I10" s="1" t="str">
        <f>+IF(F10="FPA"," ",INDEX($AE$82:$AE$123,T10))</f>
        <v xml:space="preserve"> </v>
      </c>
      <c r="J10" s="2" t="str">
        <f>+IF(I10=" ","",IF(I10="1/5 or part",ROUNDUP(H10/5,0),H10*I10))</f>
        <v/>
      </c>
      <c r="K10" s="92"/>
      <c r="L10" s="586" t="s">
        <v>230</v>
      </c>
      <c r="M10" s="587"/>
      <c r="N10" s="7" t="s">
        <v>156</v>
      </c>
      <c r="O10" s="21" t="s">
        <v>231</v>
      </c>
      <c r="P10" s="7" t="s">
        <v>287</v>
      </c>
      <c r="T10" s="91">
        <v>1</v>
      </c>
      <c r="U10" s="67" t="str">
        <f>IF($T$6=1,INDEX($B$82:$B$87,T10,1),"Not ROL")</f>
        <v>Not ROL</v>
      </c>
      <c r="V10" s="91">
        <f>+H10</f>
        <v>0</v>
      </c>
    </row>
    <row r="11" spans="1:22" ht="15" customHeight="1" x14ac:dyDescent="0.25">
      <c r="F11" s="588" t="str">
        <f>INDEX($AD$82:$AD$123,T11)</f>
        <v xml:space="preserve"> </v>
      </c>
      <c r="G11" s="589"/>
      <c r="H11" s="218"/>
      <c r="I11" s="1" t="str">
        <f>+IF(F11="FPA"," ",INDEX($AE$82:$AE$123,T11))</f>
        <v xml:space="preserve"> </v>
      </c>
      <c r="J11" s="2" t="str">
        <f>+IF(I11=" ","",IF(I11="1/5 or part",ROUNDUP(H11/5,0),H11*I11))</f>
        <v/>
      </c>
      <c r="K11" s="92"/>
      <c r="L11" s="175"/>
      <c r="M11" s="385"/>
      <c r="N11" s="383"/>
      <c r="O11" s="21"/>
      <c r="P11" s="384"/>
      <c r="T11" s="91">
        <v>1</v>
      </c>
      <c r="U11" s="405" t="str">
        <f>IF($T$6=1,INDEX($B$82:$B$87,T11,1),"Not ROL")</f>
        <v>Not ROL</v>
      </c>
      <c r="V11" s="91">
        <f>+H11</f>
        <v>0</v>
      </c>
    </row>
    <row r="12" spans="1:22" ht="15" customHeight="1" x14ac:dyDescent="0.25">
      <c r="F12" s="588" t="str">
        <f>INDEX($AD$82:$AD$123,T12)</f>
        <v xml:space="preserve"> </v>
      </c>
      <c r="G12" s="589"/>
      <c r="H12" s="218"/>
      <c r="I12" s="1" t="str">
        <f>+IF(F12="FPA"," ",INDEX($AE$82:$AE$123,T12))</f>
        <v xml:space="preserve"> </v>
      </c>
      <c r="J12" s="2" t="str">
        <f>+IF(I12=" ","",IF(I12="1/5 or part",ROUNDUP(H12/5,0),H12*I12))</f>
        <v/>
      </c>
      <c r="K12" s="92"/>
      <c r="L12" s="175"/>
      <c r="M12" s="385"/>
      <c r="N12" s="383"/>
      <c r="O12" s="21"/>
      <c r="P12" s="384"/>
      <c r="T12" s="91">
        <v>1</v>
      </c>
      <c r="U12" s="405" t="str">
        <f>IF($T$6=1,INDEX($B$82:$B$87,T12,1),"Not ROL")</f>
        <v>Not ROL</v>
      </c>
      <c r="V12" s="91">
        <f>+H12</f>
        <v>0</v>
      </c>
    </row>
    <row r="13" spans="1:22" ht="15" customHeight="1" x14ac:dyDescent="0.25">
      <c r="F13" s="588" t="str">
        <f>INDEX($AD$82:$AD$123,T13)</f>
        <v xml:space="preserve"> </v>
      </c>
      <c r="G13" s="589"/>
      <c r="H13" s="218"/>
      <c r="I13" s="1" t="str">
        <f>+IF(F13="FPA"," ",INDEX($AE$82:$AE$123,T13))</f>
        <v xml:space="preserve"> </v>
      </c>
      <c r="J13" s="2" t="str">
        <f>+IF(I13=" ","",IF(I13="1/5 or part",ROUNDUP(H13/5,0),H13*I13))</f>
        <v/>
      </c>
      <c r="K13" s="92"/>
      <c r="L13" s="590" t="s">
        <v>158</v>
      </c>
      <c r="M13" s="591"/>
      <c r="N13" s="220"/>
      <c r="O13" s="15" t="str">
        <f t="shared" ref="O13:O35" si="0">+IF(OR(L13=" ",L13=""),"",VLOOKUP(L13,$U$82:$Y$117,5,FALSE))</f>
        <v/>
      </c>
      <c r="P13" s="18" t="str">
        <f>+IF(O13="","",N13*O13)</f>
        <v/>
      </c>
      <c r="T13" s="91">
        <v>1</v>
      </c>
      <c r="U13" s="405" t="str">
        <f>IF($T$6=1,INDEX($B$82:$B$87,T13,1),"Not ROL")</f>
        <v>Not ROL</v>
      </c>
      <c r="V13" s="91">
        <f>+H13</f>
        <v>0</v>
      </c>
    </row>
    <row r="14" spans="1:22" ht="15" customHeight="1" x14ac:dyDescent="0.25">
      <c r="F14" s="588" t="str">
        <f>INDEX($AD$82:$AD$123,T14)</f>
        <v xml:space="preserve"> </v>
      </c>
      <c r="G14" s="589"/>
      <c r="H14" s="218"/>
      <c r="I14" s="1" t="str">
        <f>+IF(F14="FPA"," ",INDEX($AE$82:$AE$123,T14))</f>
        <v xml:space="preserve"> </v>
      </c>
      <c r="J14" s="2" t="str">
        <f>+IF(I14=" ","",IF(I14="1/5 or part",ROUNDUP(H14/5,0),H14*I14))</f>
        <v/>
      </c>
      <c r="K14" s="92"/>
      <c r="L14" s="584"/>
      <c r="M14" s="585"/>
      <c r="N14" s="221"/>
      <c r="O14" s="16" t="str">
        <f t="shared" si="0"/>
        <v/>
      </c>
      <c r="P14" s="19" t="str">
        <f t="shared" ref="P14:P35" si="1">+IF(O14="","",N14*O14)</f>
        <v/>
      </c>
      <c r="T14" s="91">
        <v>1</v>
      </c>
      <c r="U14" s="405" t="str">
        <f>IF($T$6=1,INDEX($B$82:$B$87,T14,1),"Not ROL")</f>
        <v>Not ROL</v>
      </c>
      <c r="V14" s="91">
        <f>+H14</f>
        <v>0</v>
      </c>
    </row>
    <row r="15" spans="1:22" x14ac:dyDescent="0.25">
      <c r="E15" s="81" t="str">
        <f>+IF(OR(F10="FPA",F13="FPA",F14="FPA")," Please summarise First Principles Assessment (FPA):","Do not use this line - First Principles Assessment only")</f>
        <v>Do not use this line - First Principles Assessment only</v>
      </c>
      <c r="F15" s="592"/>
      <c r="G15" s="593"/>
      <c r="H15" s="218"/>
      <c r="I15" s="218"/>
      <c r="J15" s="3">
        <f>+IF(I15=" ","",H15*I15)</f>
        <v>0</v>
      </c>
      <c r="K15" s="92"/>
      <c r="L15" s="584"/>
      <c r="M15" s="585"/>
      <c r="N15" s="221"/>
      <c r="O15" s="16" t="str">
        <f t="shared" si="0"/>
        <v/>
      </c>
      <c r="P15" s="19" t="str">
        <f t="shared" si="1"/>
        <v/>
      </c>
    </row>
    <row r="16" spans="1:22" x14ac:dyDescent="0.25">
      <c r="I16" s="96" t="s">
        <v>159</v>
      </c>
      <c r="J16" s="97">
        <f>SUM(J10:J15)</f>
        <v>0</v>
      </c>
      <c r="K16" s="92"/>
      <c r="L16" s="584"/>
      <c r="M16" s="585"/>
      <c r="N16" s="221"/>
      <c r="O16" s="16" t="str">
        <f t="shared" si="0"/>
        <v/>
      </c>
      <c r="P16" s="19" t="str">
        <f t="shared" si="1"/>
        <v/>
      </c>
    </row>
    <row r="17" spans="1:20" x14ac:dyDescent="0.25">
      <c r="K17" s="92"/>
      <c r="L17" s="584"/>
      <c r="M17" s="585"/>
      <c r="N17" s="221"/>
      <c r="O17" s="16" t="str">
        <f t="shared" si="0"/>
        <v/>
      </c>
      <c r="P17" s="19" t="str">
        <f t="shared" si="1"/>
        <v/>
      </c>
    </row>
    <row r="18" spans="1:20" x14ac:dyDescent="0.25">
      <c r="A18" s="89" t="s">
        <v>163</v>
      </c>
      <c r="B18" s="90" t="s">
        <v>161</v>
      </c>
      <c r="K18" s="92"/>
      <c r="L18" s="584"/>
      <c r="M18" s="585"/>
      <c r="N18" s="221"/>
      <c r="O18" s="16" t="str">
        <f t="shared" si="0"/>
        <v/>
      </c>
      <c r="P18" s="19" t="str">
        <f t="shared" si="1"/>
        <v/>
      </c>
    </row>
    <row r="19" spans="1:20" ht="15" customHeight="1" x14ac:dyDescent="0.25">
      <c r="A19" s="89"/>
      <c r="B19" s="98" t="s">
        <v>247</v>
      </c>
      <c r="K19" s="92"/>
      <c r="L19" s="584"/>
      <c r="M19" s="585"/>
      <c r="N19" s="221"/>
      <c r="O19" s="16" t="str">
        <f t="shared" si="0"/>
        <v/>
      </c>
      <c r="P19" s="19" t="str">
        <f t="shared" si="1"/>
        <v/>
      </c>
      <c r="T19" s="91">
        <v>1</v>
      </c>
    </row>
    <row r="20" spans="1:20" ht="12.75" customHeight="1" x14ac:dyDescent="0.25">
      <c r="K20" s="92"/>
      <c r="L20" s="584"/>
      <c r="M20" s="585"/>
      <c r="N20" s="221"/>
      <c r="O20" s="16" t="str">
        <f t="shared" si="0"/>
        <v/>
      </c>
      <c r="P20" s="19" t="str">
        <f t="shared" si="1"/>
        <v/>
      </c>
      <c r="T20" s="61" t="b">
        <v>0</v>
      </c>
    </row>
    <row r="21" spans="1:20" x14ac:dyDescent="0.25">
      <c r="B21" s="540" t="s">
        <v>155</v>
      </c>
      <c r="C21" s="541"/>
      <c r="D21" s="541"/>
      <c r="E21" s="542"/>
      <c r="F21" s="4" t="s">
        <v>157</v>
      </c>
      <c r="G21" s="6"/>
      <c r="H21" s="7" t="s">
        <v>156</v>
      </c>
      <c r="I21" s="8" t="s">
        <v>177</v>
      </c>
      <c r="J21" s="7" t="s">
        <v>178</v>
      </c>
      <c r="K21" s="92"/>
      <c r="L21" s="584"/>
      <c r="M21" s="585"/>
      <c r="N21" s="221"/>
      <c r="O21" s="16" t="str">
        <f t="shared" si="0"/>
        <v/>
      </c>
      <c r="P21" s="19" t="str">
        <f t="shared" si="1"/>
        <v/>
      </c>
    </row>
    <row r="22" spans="1:20" ht="15" customHeight="1" x14ac:dyDescent="0.25">
      <c r="F22" s="588" t="str">
        <f>INDEX($AJ$82:$AJ$123,T22)</f>
        <v xml:space="preserve"> </v>
      </c>
      <c r="G22" s="589"/>
      <c r="H22" s="218"/>
      <c r="I22" s="1" t="str">
        <f>+IF(F22="FPA"," ",INDEX($AK$82:$AK$123,T22))</f>
        <v xml:space="preserve"> </v>
      </c>
      <c r="J22" s="2" t="str">
        <f>+IF(I22=" ","",IF(I22="1/5 or part",ROUNDUP(H22/5,0),H22*I22))</f>
        <v/>
      </c>
      <c r="K22" s="92"/>
      <c r="L22" s="584" t="s">
        <v>158</v>
      </c>
      <c r="M22" s="585"/>
      <c r="N22" s="221"/>
      <c r="O22" s="16" t="str">
        <f t="shared" si="0"/>
        <v/>
      </c>
      <c r="P22" s="19" t="str">
        <f t="shared" si="1"/>
        <v/>
      </c>
      <c r="T22" s="91">
        <v>1</v>
      </c>
    </row>
    <row r="23" spans="1:20" ht="15" customHeight="1" x14ac:dyDescent="0.25">
      <c r="F23" s="588" t="str">
        <f>INDEX($AJ$82:$AJ$123,T23)</f>
        <v xml:space="preserve"> </v>
      </c>
      <c r="G23" s="589"/>
      <c r="H23" s="218"/>
      <c r="I23" s="1" t="str">
        <f>+IF(F23="FPA"," ",INDEX($AK$82:$AK$123,T23))</f>
        <v xml:space="preserve"> </v>
      </c>
      <c r="J23" s="2" t="str">
        <f>+IF(I23=" ","",IF(I23="1/5 or part",ROUNDUP(H23/5,0),H23*I23))</f>
        <v/>
      </c>
      <c r="K23" s="92"/>
      <c r="L23" s="584" t="s">
        <v>158</v>
      </c>
      <c r="M23" s="585"/>
      <c r="N23" s="221"/>
      <c r="O23" s="16" t="str">
        <f t="shared" si="0"/>
        <v/>
      </c>
      <c r="P23" s="19" t="str">
        <f t="shared" si="1"/>
        <v/>
      </c>
      <c r="T23" s="91">
        <v>1</v>
      </c>
    </row>
    <row r="24" spans="1:20" ht="15" customHeight="1" x14ac:dyDescent="0.25">
      <c r="F24" s="588" t="str">
        <f>INDEX($AJ$82:$AJ$123,T24)</f>
        <v xml:space="preserve"> </v>
      </c>
      <c r="G24" s="589"/>
      <c r="H24" s="218"/>
      <c r="I24" s="1" t="str">
        <f>+IF(F24="FPA"," ",INDEX($AK$82:$AK$123,T24))</f>
        <v xml:space="preserve"> </v>
      </c>
      <c r="J24" s="2" t="str">
        <f>+IF(I24=" ","",IF(I24="1/5 or part",ROUNDUP(H24/5,0),H24*I24))</f>
        <v/>
      </c>
      <c r="K24" s="92"/>
      <c r="L24" s="584" t="s">
        <v>158</v>
      </c>
      <c r="M24" s="585"/>
      <c r="N24" s="221"/>
      <c r="O24" s="16" t="str">
        <f t="shared" si="0"/>
        <v/>
      </c>
      <c r="P24" s="19" t="str">
        <f t="shared" si="1"/>
        <v/>
      </c>
      <c r="T24" s="91">
        <v>1</v>
      </c>
    </row>
    <row r="25" spans="1:20" x14ac:dyDescent="0.25">
      <c r="E25" s="81" t="str">
        <f>+IF(OR(F22="FPA",F23="FPA",F24="FPA")," Please summarise First Principles Assessment (FPA):","Do not use this line - First Principles Assessment only:")</f>
        <v>Do not use this line - First Principles Assessment only:</v>
      </c>
      <c r="F25" s="592"/>
      <c r="G25" s="593"/>
      <c r="H25" s="218"/>
      <c r="I25" s="218"/>
      <c r="J25" s="3">
        <f>+IF(I25=" ","",H25*I25)</f>
        <v>0</v>
      </c>
      <c r="K25" s="92"/>
      <c r="L25" s="584" t="s">
        <v>158</v>
      </c>
      <c r="M25" s="585"/>
      <c r="N25" s="221"/>
      <c r="O25" s="16" t="str">
        <f t="shared" si="0"/>
        <v/>
      </c>
      <c r="P25" s="19" t="str">
        <f t="shared" si="1"/>
        <v/>
      </c>
    </row>
    <row r="26" spans="1:20" x14ac:dyDescent="0.25">
      <c r="I26" s="96" t="s">
        <v>159</v>
      </c>
      <c r="J26" s="97">
        <f>SUM(J22:J25)</f>
        <v>0</v>
      </c>
      <c r="L26" s="584" t="s">
        <v>158</v>
      </c>
      <c r="M26" s="585"/>
      <c r="N26" s="221"/>
      <c r="O26" s="16" t="str">
        <f t="shared" si="0"/>
        <v/>
      </c>
      <c r="P26" s="19" t="str">
        <f t="shared" si="1"/>
        <v/>
      </c>
    </row>
    <row r="27" spans="1:20" x14ac:dyDescent="0.25">
      <c r="L27" s="584" t="s">
        <v>158</v>
      </c>
      <c r="M27" s="585"/>
      <c r="N27" s="221"/>
      <c r="O27" s="16" t="str">
        <f t="shared" si="0"/>
        <v/>
      </c>
      <c r="P27" s="19" t="str">
        <f t="shared" si="1"/>
        <v/>
      </c>
    </row>
    <row r="28" spans="1:20" x14ac:dyDescent="0.25">
      <c r="A28" s="89" t="s">
        <v>164</v>
      </c>
      <c r="B28" s="90" t="s">
        <v>285</v>
      </c>
      <c r="L28" s="584" t="s">
        <v>158</v>
      </c>
      <c r="M28" s="585"/>
      <c r="N28" s="221"/>
      <c r="O28" s="16" t="str">
        <f t="shared" si="0"/>
        <v/>
      </c>
      <c r="P28" s="19" t="str">
        <f t="shared" si="1"/>
        <v/>
      </c>
    </row>
    <row r="29" spans="1:20" x14ac:dyDescent="0.25">
      <c r="B29" s="547" t="s">
        <v>148</v>
      </c>
      <c r="C29" s="548"/>
      <c r="D29" s="602" t="s">
        <v>233</v>
      </c>
      <c r="E29" s="540" t="s">
        <v>166</v>
      </c>
      <c r="F29" s="541"/>
      <c r="G29" s="542"/>
      <c r="H29" s="594" t="s">
        <v>276</v>
      </c>
      <c r="I29" s="540" t="s">
        <v>277</v>
      </c>
      <c r="J29" s="542"/>
      <c r="L29" s="584" t="s">
        <v>158</v>
      </c>
      <c r="M29" s="585"/>
      <c r="N29" s="221"/>
      <c r="O29" s="16" t="str">
        <f t="shared" si="0"/>
        <v/>
      </c>
      <c r="P29" s="19" t="str">
        <f t="shared" si="1"/>
        <v/>
      </c>
    </row>
    <row r="30" spans="1:20" x14ac:dyDescent="0.25">
      <c r="B30" s="605"/>
      <c r="C30" s="606"/>
      <c r="D30" s="603"/>
      <c r="E30" s="7" t="s">
        <v>179</v>
      </c>
      <c r="F30" s="7" t="s">
        <v>149</v>
      </c>
      <c r="G30" s="7" t="s">
        <v>151</v>
      </c>
      <c r="H30" s="595"/>
      <c r="I30" s="7" t="s">
        <v>179</v>
      </c>
      <c r="J30" s="7" t="s">
        <v>149</v>
      </c>
      <c r="L30" s="584" t="s">
        <v>158</v>
      </c>
      <c r="M30" s="585"/>
      <c r="N30" s="221"/>
      <c r="O30" s="16" t="str">
        <f t="shared" si="0"/>
        <v/>
      </c>
      <c r="P30" s="19" t="str">
        <f t="shared" si="1"/>
        <v/>
      </c>
    </row>
    <row r="31" spans="1:20" x14ac:dyDescent="0.25">
      <c r="D31" s="12" t="s">
        <v>180</v>
      </c>
      <c r="E31" s="9">
        <f>+INDEX($E$72:$E$76,T31)</f>
        <v>2120</v>
      </c>
      <c r="F31" s="53" t="s">
        <v>302</v>
      </c>
      <c r="G31" s="3">
        <v>91.8</v>
      </c>
      <c r="H31" s="11">
        <f>+'June 2009 Summary'!$D$16/'Sewer &amp; Water'!G31</f>
        <v>1.0370370370370372</v>
      </c>
      <c r="I31" s="9">
        <f>+E31*H31</f>
        <v>2198.5185185185187</v>
      </c>
      <c r="J31" s="10" t="str">
        <f>+'June 2009 Summary'!D14</f>
        <v>Jun '09</v>
      </c>
      <c r="L31" s="584" t="s">
        <v>158</v>
      </c>
      <c r="M31" s="585"/>
      <c r="N31" s="221"/>
      <c r="O31" s="16" t="str">
        <f t="shared" si="0"/>
        <v/>
      </c>
      <c r="P31" s="19" t="str">
        <f t="shared" si="1"/>
        <v/>
      </c>
      <c r="T31" s="91">
        <v>2</v>
      </c>
    </row>
    <row r="32" spans="1:20" x14ac:dyDescent="0.25">
      <c r="D32" s="12" t="s">
        <v>181</v>
      </c>
      <c r="E32" s="9">
        <f>+INDEX($F$72:$F$76,T31)</f>
        <v>3358</v>
      </c>
      <c r="F32" s="10" t="str">
        <f>+F31</f>
        <v>Jun '08</v>
      </c>
      <c r="G32" s="508">
        <f>+G31</f>
        <v>91.8</v>
      </c>
      <c r="H32" s="11">
        <f>+'June 2009 Summary'!$D$16/'Sewer &amp; Water'!G32</f>
        <v>1.0370370370370372</v>
      </c>
      <c r="I32" s="9">
        <f>+E32*H32</f>
        <v>3482.3703703703709</v>
      </c>
      <c r="J32" s="10" t="str">
        <f>+J31</f>
        <v>Jun '09</v>
      </c>
      <c r="L32" s="584" t="s">
        <v>158</v>
      </c>
      <c r="M32" s="585"/>
      <c r="N32" s="221"/>
      <c r="O32" s="16" t="str">
        <f t="shared" si="0"/>
        <v/>
      </c>
      <c r="P32" s="19" t="str">
        <f t="shared" si="1"/>
        <v/>
      </c>
    </row>
    <row r="33" spans="1:16" x14ac:dyDescent="0.25">
      <c r="E33" s="149"/>
      <c r="G33" s="71"/>
      <c r="L33" s="584" t="s">
        <v>158</v>
      </c>
      <c r="M33" s="585"/>
      <c r="N33" s="221"/>
      <c r="O33" s="16" t="str">
        <f t="shared" si="0"/>
        <v/>
      </c>
      <c r="P33" s="19" t="str">
        <f t="shared" si="1"/>
        <v/>
      </c>
    </row>
    <row r="34" spans="1:16" x14ac:dyDescent="0.25">
      <c r="L34" s="584" t="s">
        <v>158</v>
      </c>
      <c r="M34" s="585"/>
      <c r="N34" s="221"/>
      <c r="O34" s="16" t="str">
        <f t="shared" si="0"/>
        <v/>
      </c>
      <c r="P34" s="19" t="str">
        <f t="shared" si="1"/>
        <v/>
      </c>
    </row>
    <row r="35" spans="1:16" x14ac:dyDescent="0.25">
      <c r="A35" s="89" t="s">
        <v>165</v>
      </c>
      <c r="B35" s="90" t="s">
        <v>284</v>
      </c>
      <c r="E35" s="99"/>
      <c r="L35" s="615" t="s">
        <v>158</v>
      </c>
      <c r="M35" s="616"/>
      <c r="N35" s="222"/>
      <c r="O35" s="17" t="str">
        <f t="shared" si="0"/>
        <v/>
      </c>
      <c r="P35" s="20" t="str">
        <f t="shared" si="1"/>
        <v/>
      </c>
    </row>
    <row r="36" spans="1:16" x14ac:dyDescent="0.25">
      <c r="B36" s="102" t="s">
        <v>286</v>
      </c>
      <c r="C36" s="103">
        <f>+IF(J16&gt;J26,(J16-J26)*I31,0)</f>
        <v>0</v>
      </c>
      <c r="D36" s="104" t="s">
        <v>281</v>
      </c>
      <c r="G36" s="103" t="str">
        <f>+IF(J26&gt;J16,"No credit in excess of the demand is given","")</f>
        <v/>
      </c>
      <c r="L36" s="61" t="s">
        <v>236</v>
      </c>
      <c r="P36" s="105">
        <f>SUM(P13:P35)</f>
        <v>0</v>
      </c>
    </row>
    <row r="37" spans="1:16" ht="15" x14ac:dyDescent="0.4">
      <c r="A37" s="89"/>
      <c r="C37" s="106">
        <f>+IF(J16&gt;J26,(J16-J26)*I32,0)</f>
        <v>0</v>
      </c>
      <c r="D37" s="104" t="s">
        <v>282</v>
      </c>
      <c r="G37" s="107" t="str">
        <f>+G36</f>
        <v/>
      </c>
      <c r="L37" s="71" t="s">
        <v>237</v>
      </c>
      <c r="M37" s="71"/>
      <c r="N37" s="71"/>
    </row>
    <row r="38" spans="1:16" x14ac:dyDescent="0.25">
      <c r="C38" s="107">
        <f>+C37+C36</f>
        <v>0</v>
      </c>
      <c r="D38" s="604" t="str">
        <f>+J31</f>
        <v>Jun '09</v>
      </c>
      <c r="E38" s="604"/>
    </row>
    <row r="40" spans="1:16" ht="15.75" customHeight="1" x14ac:dyDescent="0.25">
      <c r="G40" s="109"/>
      <c r="I40" s="110"/>
    </row>
    <row r="41" spans="1:16" ht="18" customHeight="1" x14ac:dyDescent="0.25">
      <c r="B41" s="216"/>
      <c r="C41" s="216"/>
      <c r="D41" s="216"/>
      <c r="E41" s="216"/>
      <c r="F41" s="216"/>
      <c r="G41" s="216"/>
      <c r="H41" s="216"/>
      <c r="I41" s="216"/>
    </row>
    <row r="42" spans="1:16" ht="18" customHeight="1" x14ac:dyDescent="0.25">
      <c r="B42" s="216"/>
      <c r="C42" s="216"/>
      <c r="D42" s="216"/>
      <c r="E42" s="216"/>
      <c r="F42" s="216"/>
      <c r="G42" s="216"/>
      <c r="H42" s="216"/>
      <c r="I42" s="216"/>
    </row>
    <row r="43" spans="1:16" ht="18" customHeight="1" x14ac:dyDescent="0.25">
      <c r="B43" s="216"/>
      <c r="C43" s="216"/>
      <c r="D43" s="216"/>
      <c r="E43" s="216"/>
      <c r="F43" s="216"/>
      <c r="G43" s="216"/>
      <c r="H43" s="216"/>
      <c r="I43" s="216"/>
    </row>
    <row r="44" spans="1:16" ht="18" customHeight="1" x14ac:dyDescent="0.25">
      <c r="B44" s="216"/>
      <c r="C44" s="216"/>
      <c r="D44" s="216"/>
      <c r="E44" s="216"/>
      <c r="F44" s="216"/>
      <c r="G44" s="216"/>
      <c r="H44" s="216"/>
      <c r="I44" s="216"/>
    </row>
    <row r="45" spans="1:16" ht="18" customHeight="1" x14ac:dyDescent="0.25">
      <c r="B45" s="216"/>
      <c r="C45" s="216"/>
      <c r="D45" s="216"/>
      <c r="E45" s="216"/>
      <c r="F45" s="216"/>
      <c r="G45" s="216"/>
      <c r="H45" s="216"/>
      <c r="I45" s="216"/>
    </row>
    <row r="46" spans="1:16" ht="18" customHeight="1" x14ac:dyDescent="0.25">
      <c r="B46" s="216"/>
      <c r="C46" s="216"/>
      <c r="D46" s="216"/>
      <c r="E46" s="216"/>
      <c r="F46" s="216"/>
      <c r="G46" s="216"/>
      <c r="H46" s="216"/>
      <c r="I46" s="216"/>
    </row>
    <row r="47" spans="1:16" ht="18" customHeight="1" x14ac:dyDescent="0.25">
      <c r="B47" s="216"/>
      <c r="C47" s="216"/>
      <c r="D47" s="216"/>
      <c r="E47" s="216"/>
      <c r="F47" s="216"/>
      <c r="G47" s="216"/>
      <c r="H47" s="216"/>
      <c r="I47" s="216"/>
    </row>
    <row r="48" spans="1:16" ht="18" customHeight="1" x14ac:dyDescent="0.25">
      <c r="B48" s="216"/>
      <c r="C48" s="216"/>
      <c r="D48" s="216"/>
      <c r="E48" s="216"/>
      <c r="F48" s="216"/>
      <c r="G48" s="216"/>
      <c r="H48" s="216"/>
      <c r="I48" s="216"/>
    </row>
    <row r="49" spans="2:10" ht="18" customHeight="1" x14ac:dyDescent="0.25">
      <c r="B49" s="216"/>
      <c r="C49" s="216"/>
      <c r="D49" s="216"/>
      <c r="E49" s="216"/>
      <c r="F49" s="216"/>
      <c r="G49" s="216"/>
      <c r="H49" s="216"/>
      <c r="I49" s="216"/>
    </row>
    <row r="50" spans="2:10" ht="18" customHeight="1" x14ac:dyDescent="0.25">
      <c r="B50" s="216"/>
      <c r="C50" s="216"/>
      <c r="D50" s="216"/>
      <c r="E50" s="216"/>
      <c r="F50" s="216"/>
      <c r="G50" s="216"/>
      <c r="H50" s="216"/>
      <c r="I50" s="216"/>
    </row>
    <row r="51" spans="2:10" ht="18" customHeight="1" x14ac:dyDescent="0.25">
      <c r="B51" s="216"/>
      <c r="C51" s="216"/>
      <c r="D51" s="216"/>
      <c r="E51" s="216"/>
      <c r="F51" s="216"/>
      <c r="G51" s="216"/>
      <c r="H51" s="216"/>
      <c r="I51" s="216"/>
    </row>
    <row r="52" spans="2:10" ht="18" customHeight="1" x14ac:dyDescent="0.25">
      <c r="B52" s="216"/>
      <c r="C52" s="216"/>
      <c r="D52" s="216"/>
      <c r="E52" s="216"/>
      <c r="F52" s="216"/>
      <c r="G52" s="216"/>
      <c r="H52" s="216"/>
      <c r="I52" s="216"/>
    </row>
    <row r="53" spans="2:10" ht="18" customHeight="1" x14ac:dyDescent="0.25">
      <c r="B53" s="216"/>
      <c r="C53" s="216"/>
      <c r="D53" s="216"/>
      <c r="E53" s="216"/>
      <c r="F53" s="216"/>
      <c r="G53" s="216"/>
      <c r="H53" s="216"/>
      <c r="I53" s="216"/>
    </row>
    <row r="54" spans="2:10" ht="18" customHeight="1" x14ac:dyDescent="0.25">
      <c r="B54" s="216"/>
      <c r="C54" s="216"/>
      <c r="D54" s="216"/>
      <c r="E54" s="216"/>
      <c r="F54" s="216"/>
      <c r="G54" s="216"/>
      <c r="H54" s="216"/>
      <c r="I54" s="216"/>
    </row>
    <row r="55" spans="2:10" ht="18" customHeight="1" x14ac:dyDescent="0.25">
      <c r="B55" s="216"/>
      <c r="C55" s="216"/>
      <c r="D55" s="216"/>
      <c r="E55" s="216"/>
      <c r="F55" s="216"/>
      <c r="G55" s="216"/>
      <c r="H55" s="216"/>
      <c r="I55" s="216"/>
    </row>
    <row r="56" spans="2:10" ht="18" customHeight="1" x14ac:dyDescent="0.25">
      <c r="B56" s="216"/>
      <c r="C56" s="216"/>
      <c r="D56" s="216"/>
      <c r="E56" s="216"/>
      <c r="F56" s="216"/>
      <c r="G56" s="216"/>
      <c r="H56" s="216"/>
      <c r="I56" s="216"/>
    </row>
    <row r="57" spans="2:10" x14ac:dyDescent="0.25">
      <c r="B57" s="89"/>
    </row>
    <row r="58" spans="2:10" x14ac:dyDescent="0.25">
      <c r="B58" s="111"/>
      <c r="E58" s="71" t="str">
        <f>+IF(E35&gt;C36,"no credit given in excess of existing lawful use","")</f>
        <v/>
      </c>
    </row>
    <row r="62" spans="2:10" x14ac:dyDescent="0.25">
      <c r="B62" s="112" t="s">
        <v>169</v>
      </c>
    </row>
    <row r="63" spans="2:10" x14ac:dyDescent="0.25">
      <c r="J63" s="65"/>
    </row>
    <row r="64" spans="2:10" x14ac:dyDescent="0.25">
      <c r="B64" s="540" t="s">
        <v>153</v>
      </c>
      <c r="C64" s="541"/>
      <c r="D64" s="541"/>
      <c r="E64" s="542"/>
    </row>
    <row r="65" spans="2:37" x14ac:dyDescent="0.25">
      <c r="B65" s="188" t="s">
        <v>154</v>
      </c>
      <c r="C65" s="227"/>
      <c r="D65" s="227"/>
      <c r="E65" s="18"/>
    </row>
    <row r="66" spans="2:37" x14ac:dyDescent="0.25">
      <c r="B66" s="228" t="s">
        <v>232</v>
      </c>
      <c r="C66" s="229"/>
      <c r="D66" s="229"/>
      <c r="E66" s="19"/>
    </row>
    <row r="67" spans="2:37" x14ac:dyDescent="0.25">
      <c r="B67" s="190"/>
      <c r="C67" s="230"/>
      <c r="D67" s="230"/>
      <c r="E67" s="20"/>
    </row>
    <row r="68" spans="2:37" ht="39" customHeight="1" x14ac:dyDescent="0.25"/>
    <row r="69" spans="2:37" x14ac:dyDescent="0.25">
      <c r="B69" s="607" t="s">
        <v>435</v>
      </c>
      <c r="C69" s="608"/>
      <c r="D69" s="608"/>
      <c r="E69" s="608"/>
      <c r="F69" s="609"/>
      <c r="H69" s="540" t="s">
        <v>240</v>
      </c>
      <c r="I69" s="541"/>
      <c r="J69" s="541"/>
      <c r="K69" s="541"/>
      <c r="L69" s="542"/>
    </row>
    <row r="70" spans="2:37" ht="12.75" customHeight="1" x14ac:dyDescent="0.25">
      <c r="B70" s="547" t="s">
        <v>148</v>
      </c>
      <c r="C70" s="610"/>
      <c r="D70" s="548"/>
      <c r="E70" s="223" t="s">
        <v>325</v>
      </c>
      <c r="F70" s="224"/>
      <c r="H70" s="188"/>
      <c r="I70" s="227"/>
      <c r="J70" s="227"/>
      <c r="K70" s="227"/>
      <c r="L70" s="18"/>
    </row>
    <row r="71" spans="2:37" ht="12.75" customHeight="1" x14ac:dyDescent="0.25">
      <c r="B71" s="605"/>
      <c r="C71" s="611"/>
      <c r="D71" s="606"/>
      <c r="E71" s="225" t="s">
        <v>180</v>
      </c>
      <c r="F71" s="226" t="s">
        <v>181</v>
      </c>
      <c r="H71" s="228" t="s">
        <v>246</v>
      </c>
      <c r="I71" s="229"/>
      <c r="J71" s="229"/>
      <c r="K71" s="229"/>
      <c r="L71" s="19"/>
    </row>
    <row r="72" spans="2:37" x14ac:dyDescent="0.25">
      <c r="B72" s="231" t="s">
        <v>158</v>
      </c>
      <c r="C72" s="227"/>
      <c r="D72" s="18"/>
      <c r="E72" s="232"/>
      <c r="F72" s="232"/>
      <c r="H72" s="228" t="s">
        <v>245</v>
      </c>
      <c r="I72" s="229"/>
      <c r="J72" s="229"/>
      <c r="K72" s="229"/>
      <c r="L72" s="19"/>
      <c r="M72" s="61" t="s">
        <v>243</v>
      </c>
    </row>
    <row r="73" spans="2:37" x14ac:dyDescent="0.25">
      <c r="B73" s="233" t="s">
        <v>175</v>
      </c>
      <c r="C73" s="229"/>
      <c r="D73" s="19"/>
      <c r="E73" s="234">
        <v>2120</v>
      </c>
      <c r="F73" s="234">
        <v>3358</v>
      </c>
      <c r="H73" s="228" t="s">
        <v>274</v>
      </c>
      <c r="I73" s="229"/>
      <c r="J73" s="229"/>
      <c r="K73" s="229"/>
      <c r="L73" s="19"/>
      <c r="M73" s="61" t="s">
        <v>242</v>
      </c>
    </row>
    <row r="74" spans="2:37" x14ac:dyDescent="0.25">
      <c r="B74" s="233" t="s">
        <v>174</v>
      </c>
      <c r="C74" s="229"/>
      <c r="D74" s="19"/>
      <c r="E74" s="234">
        <v>3388</v>
      </c>
      <c r="F74" s="234">
        <v>4312</v>
      </c>
      <c r="H74" s="228" t="s">
        <v>248</v>
      </c>
      <c r="I74" s="229"/>
      <c r="J74" s="229"/>
      <c r="K74" s="229"/>
      <c r="L74" s="19"/>
      <c r="M74" s="61" t="s">
        <v>244</v>
      </c>
    </row>
    <row r="75" spans="2:37" x14ac:dyDescent="0.25">
      <c r="B75" s="233" t="s">
        <v>234</v>
      </c>
      <c r="C75" s="229"/>
      <c r="D75" s="19"/>
      <c r="E75" s="234">
        <v>0</v>
      </c>
      <c r="F75" s="234">
        <v>4891</v>
      </c>
      <c r="H75" s="190" t="s">
        <v>275</v>
      </c>
      <c r="I75" s="230"/>
      <c r="J75" s="230"/>
      <c r="K75" s="230"/>
      <c r="L75" s="20"/>
      <c r="M75" s="61" t="s">
        <v>242</v>
      </c>
    </row>
    <row r="76" spans="2:37" x14ac:dyDescent="0.25">
      <c r="B76" s="233" t="s">
        <v>176</v>
      </c>
      <c r="C76" s="229"/>
      <c r="D76" s="19"/>
      <c r="E76" s="234">
        <v>0</v>
      </c>
      <c r="F76" s="234">
        <v>3927</v>
      </c>
    </row>
    <row r="77" spans="2:37" x14ac:dyDescent="0.25">
      <c r="B77" s="235"/>
      <c r="C77" s="230"/>
      <c r="D77" s="20"/>
      <c r="E77" s="236"/>
      <c r="F77" s="236"/>
    </row>
    <row r="78" spans="2:37" x14ac:dyDescent="0.25">
      <c r="B78" s="65"/>
    </row>
    <row r="80" spans="2:37" ht="12.75" customHeight="1" x14ac:dyDescent="0.25">
      <c r="B80" s="540" t="s">
        <v>270</v>
      </c>
      <c r="C80" s="541"/>
      <c r="D80" s="541"/>
      <c r="E80" s="541"/>
      <c r="F80" s="542"/>
      <c r="H80" s="553" t="s">
        <v>271</v>
      </c>
      <c r="I80" s="554"/>
      <c r="J80" s="554"/>
      <c r="K80" s="554"/>
      <c r="L80" s="555"/>
      <c r="M80" s="125"/>
      <c r="N80" s="553" t="s">
        <v>272</v>
      </c>
      <c r="O80" s="554"/>
      <c r="P80" s="554"/>
      <c r="Q80" s="554"/>
      <c r="R80" s="555"/>
      <c r="U80" s="617" t="s">
        <v>273</v>
      </c>
      <c r="V80" s="618"/>
      <c r="W80" s="618"/>
      <c r="X80" s="618"/>
      <c r="Y80" s="619"/>
      <c r="AA80" s="540" t="s">
        <v>170</v>
      </c>
      <c r="AB80" s="541"/>
      <c r="AC80" s="541"/>
      <c r="AD80" s="541"/>
      <c r="AE80" s="542"/>
      <c r="AG80" s="612" t="s">
        <v>241</v>
      </c>
      <c r="AH80" s="613"/>
      <c r="AI80" s="613"/>
      <c r="AJ80" s="541"/>
      <c r="AK80" s="542"/>
    </row>
    <row r="81" spans="2:37" x14ac:dyDescent="0.25">
      <c r="B81" s="596" t="s">
        <v>233</v>
      </c>
      <c r="C81" s="597"/>
      <c r="D81" s="598"/>
      <c r="E81" s="267" t="s">
        <v>101</v>
      </c>
      <c r="F81" s="268" t="s">
        <v>177</v>
      </c>
      <c r="H81" s="599" t="s">
        <v>100</v>
      </c>
      <c r="I81" s="600"/>
      <c r="J81" s="601"/>
      <c r="K81" s="267" t="s">
        <v>101</v>
      </c>
      <c r="L81" s="268" t="s">
        <v>177</v>
      </c>
      <c r="N81" s="599" t="s">
        <v>107</v>
      </c>
      <c r="O81" s="600"/>
      <c r="P81" s="601"/>
      <c r="Q81" s="267" t="s">
        <v>101</v>
      </c>
      <c r="R81" s="268" t="s">
        <v>177</v>
      </c>
      <c r="U81" s="176" t="s">
        <v>230</v>
      </c>
      <c r="V81" s="177"/>
      <c r="W81" s="177"/>
      <c r="X81" s="219"/>
      <c r="Y81" s="118" t="s">
        <v>231</v>
      </c>
      <c r="AA81" s="612" t="str">
        <f>IF($T$6=1,B81,N81)</f>
        <v>Defined City Plan Use</v>
      </c>
      <c r="AB81" s="613"/>
      <c r="AC81" s="614"/>
      <c r="AD81" s="175" t="str">
        <f>IF($T$6=1,E81,Q81)</f>
        <v>Unit</v>
      </c>
      <c r="AE81" s="262" t="str">
        <f>IF($T$6=1,F81,R81)</f>
        <v>EP/unit</v>
      </c>
      <c r="AG81" s="263" t="str">
        <f>IF($T$19=2,AA81,IF($T$19=3,N81,IF($T$19=4,H81,IF($T$19=6,B81, IF($T$19=1," ","Refer to Appendix H of the policy")))))</f>
        <v xml:space="preserve"> </v>
      </c>
      <c r="AH81" s="264"/>
      <c r="AI81" s="265"/>
      <c r="AJ81" s="264" t="str">
        <f>IF($T$19=2,AD81,IF($T$19=3,Q81,IF($T$19=4,K81,IF($T$19=6,E81, IF($T$19=1," ","Refer to Appendix H of the policy")))))</f>
        <v xml:space="preserve"> </v>
      </c>
      <c r="AK81" s="266" t="str">
        <f>IF($T$19=2,AE81,IF($T$19=3,R81,IF($T$19=4,L81,IF($T$19=6,F81, IF($T$19=1," ","Refer to Appendix H of the policy")))))</f>
        <v xml:space="preserve"> </v>
      </c>
    </row>
    <row r="82" spans="2:37" x14ac:dyDescent="0.25">
      <c r="B82" s="188"/>
      <c r="C82" s="227"/>
      <c r="D82" s="227"/>
      <c r="E82" s="188"/>
      <c r="F82" s="187"/>
      <c r="H82" s="228" t="s">
        <v>158</v>
      </c>
      <c r="I82" s="229"/>
      <c r="J82" s="19"/>
      <c r="K82" s="237" t="s">
        <v>158</v>
      </c>
      <c r="L82" s="237" t="s">
        <v>158</v>
      </c>
      <c r="N82" s="188" t="s">
        <v>158</v>
      </c>
      <c r="O82" s="227"/>
      <c r="P82" s="227"/>
      <c r="Q82" s="237" t="s">
        <v>158</v>
      </c>
      <c r="R82" s="241" t="s">
        <v>158</v>
      </c>
      <c r="U82" s="188" t="s">
        <v>158</v>
      </c>
      <c r="V82" s="227"/>
      <c r="W82" s="227"/>
      <c r="X82" s="242"/>
      <c r="Y82" s="237"/>
      <c r="AA82" s="245" t="s">
        <v>158</v>
      </c>
      <c r="AB82" s="246"/>
      <c r="AC82" s="247"/>
      <c r="AD82" s="248" t="s">
        <v>158</v>
      </c>
      <c r="AE82" s="249" t="s">
        <v>158</v>
      </c>
      <c r="AG82" s="250"/>
      <c r="AH82" s="251"/>
      <c r="AI82" s="252"/>
      <c r="AJ82" s="248" t="s">
        <v>158</v>
      </c>
      <c r="AK82" s="249" t="s">
        <v>158</v>
      </c>
    </row>
    <row r="83" spans="2:37" x14ac:dyDescent="0.25">
      <c r="B83" s="228" t="s">
        <v>567</v>
      </c>
      <c r="C83" s="229"/>
      <c r="D83" s="229"/>
      <c r="E83" s="228" t="s">
        <v>102</v>
      </c>
      <c r="F83" s="394">
        <v>2.8</v>
      </c>
      <c r="H83" s="238" t="s">
        <v>86</v>
      </c>
      <c r="I83" s="229"/>
      <c r="J83" s="19"/>
      <c r="K83" s="239" t="s">
        <v>103</v>
      </c>
      <c r="L83" s="239">
        <v>31</v>
      </c>
      <c r="N83" s="228" t="s">
        <v>108</v>
      </c>
      <c r="O83" s="229"/>
      <c r="P83" s="229"/>
      <c r="Q83" s="239" t="s">
        <v>189</v>
      </c>
      <c r="R83" s="239">
        <v>0.75</v>
      </c>
      <c r="U83" s="228" t="s">
        <v>195</v>
      </c>
      <c r="V83" s="229"/>
      <c r="W83" s="229"/>
      <c r="X83" s="243"/>
      <c r="Y83" s="239">
        <v>3</v>
      </c>
      <c r="AA83" s="250" t="str">
        <f>IF($T$6=1,B83,N83)</f>
        <v>Accomodation Building</v>
      </c>
      <c r="AB83" s="251"/>
      <c r="AC83" s="252"/>
      <c r="AD83" s="253" t="str">
        <f>IF($T$6=1,E83,Q83)</f>
        <v>single bed</v>
      </c>
      <c r="AE83" s="254">
        <f>IF($T$6=1,F83,R83)</f>
        <v>0.75</v>
      </c>
      <c r="AG83" s="250" t="str">
        <f t="shared" ref="AG83:AG123" si="2">IF($T$19=2,AA83,IF($T$19=3,N83,IF($T$19=4,H83,IF($T$19=6,B83, IF($T$19=1," ","Refer to Appendix H of the policy")))))</f>
        <v xml:space="preserve"> </v>
      </c>
      <c r="AH83" s="251"/>
      <c r="AI83" s="252"/>
      <c r="AJ83" s="251" t="str">
        <f t="shared" ref="AJ83:AJ123" si="3">IF($T$19=2,AD83,IF($T$19=3,Q83,IF($T$19=4,K83,IF($T$19=6,E83, IF($T$19=1," ","Refer to Appendix H of the policy")))))</f>
        <v xml:space="preserve"> </v>
      </c>
      <c r="AK83" s="260" t="str">
        <f t="shared" ref="AK83:AK123" si="4">IF($T$19=2,AE83,IF($T$19=3,R83,IF($T$19=4,L83,IF($T$19=6,F83, IF($T$19=1," ","Refer to Appendix H of the policy")))))</f>
        <v xml:space="preserve"> </v>
      </c>
    </row>
    <row r="84" spans="2:37" ht="16.2" x14ac:dyDescent="0.25">
      <c r="B84" s="392" t="s">
        <v>562</v>
      </c>
      <c r="C84" s="229"/>
      <c r="D84" s="229"/>
      <c r="E84" s="228" t="s">
        <v>102</v>
      </c>
      <c r="F84" s="394">
        <v>2.8</v>
      </c>
      <c r="H84" s="228" t="s">
        <v>93</v>
      </c>
      <c r="I84" s="229"/>
      <c r="J84" s="19"/>
      <c r="K84" s="239" t="s">
        <v>103</v>
      </c>
      <c r="L84" s="239">
        <v>21</v>
      </c>
      <c r="N84" s="228" t="s">
        <v>127</v>
      </c>
      <c r="O84" s="229"/>
      <c r="P84" s="229"/>
      <c r="Q84" s="239" t="s">
        <v>191</v>
      </c>
      <c r="R84" s="239">
        <v>1.5</v>
      </c>
      <c r="U84" s="228" t="s">
        <v>196</v>
      </c>
      <c r="V84" s="229"/>
      <c r="W84" s="229"/>
      <c r="X84" s="243"/>
      <c r="Y84" s="239">
        <v>3</v>
      </c>
      <c r="AA84" s="250" t="str">
        <f t="shared" ref="AA84:AA119" si="5">IF($T$6=1,B84,N84)</f>
        <v>Bed and Breakfast</v>
      </c>
      <c r="AB84" s="251"/>
      <c r="AC84" s="252"/>
      <c r="AD84" s="253" t="str">
        <f t="shared" ref="AD84:AD123" si="6">IF($T$6=1,E84,Q84)</f>
        <v>site</v>
      </c>
      <c r="AE84" s="254">
        <f t="shared" ref="AE84:AE123" si="7">IF($T$6=1,F84,R84)</f>
        <v>1.5</v>
      </c>
      <c r="AG84" s="250" t="str">
        <f t="shared" si="2"/>
        <v xml:space="preserve"> </v>
      </c>
      <c r="AH84" s="251"/>
      <c r="AI84" s="252"/>
      <c r="AJ84" s="251" t="str">
        <f t="shared" si="3"/>
        <v xml:space="preserve"> </v>
      </c>
      <c r="AK84" s="260" t="str">
        <f t="shared" si="4"/>
        <v xml:space="preserve"> </v>
      </c>
    </row>
    <row r="85" spans="2:37" ht="16.2" x14ac:dyDescent="0.25">
      <c r="B85" s="392" t="s">
        <v>563</v>
      </c>
      <c r="C85" s="229"/>
      <c r="D85" s="229"/>
      <c r="E85" s="228" t="s">
        <v>102</v>
      </c>
      <c r="F85" s="394">
        <v>2.8</v>
      </c>
      <c r="H85" s="228" t="s">
        <v>87</v>
      </c>
      <c r="I85" s="229"/>
      <c r="J85" s="19"/>
      <c r="K85" s="239" t="s">
        <v>103</v>
      </c>
      <c r="L85" s="239">
        <v>56</v>
      </c>
      <c r="N85" s="228" t="s">
        <v>134</v>
      </c>
      <c r="O85" s="229"/>
      <c r="P85" s="229"/>
      <c r="Q85" s="239" t="s">
        <v>238</v>
      </c>
      <c r="R85" s="239" t="s">
        <v>239</v>
      </c>
      <c r="U85" s="228" t="s">
        <v>197</v>
      </c>
      <c r="V85" s="229"/>
      <c r="W85" s="229"/>
      <c r="X85" s="243"/>
      <c r="Y85" s="239">
        <v>1</v>
      </c>
      <c r="AA85" s="250" t="str">
        <f t="shared" si="5"/>
        <v>Car Washing Station</v>
      </c>
      <c r="AB85" s="251"/>
      <c r="AC85" s="252"/>
      <c r="AD85" s="253" t="str">
        <f t="shared" si="6"/>
        <v>fixture</v>
      </c>
      <c r="AE85" s="254" t="str">
        <f t="shared" si="7"/>
        <v>1/5 or part</v>
      </c>
      <c r="AG85" s="250" t="str">
        <f t="shared" si="2"/>
        <v xml:space="preserve"> </v>
      </c>
      <c r="AH85" s="251"/>
      <c r="AI85" s="252"/>
      <c r="AJ85" s="251" t="str">
        <f t="shared" si="3"/>
        <v xml:space="preserve"> </v>
      </c>
      <c r="AK85" s="260" t="str">
        <f t="shared" si="4"/>
        <v xml:space="preserve"> </v>
      </c>
    </row>
    <row r="86" spans="2:37" ht="16.2" x14ac:dyDescent="0.25">
      <c r="B86" s="392" t="s">
        <v>564</v>
      </c>
      <c r="C86" s="229"/>
      <c r="D86" s="229"/>
      <c r="E86" s="228" t="s">
        <v>102</v>
      </c>
      <c r="F86" s="394">
        <v>2.8</v>
      </c>
      <c r="H86" s="228" t="s">
        <v>88</v>
      </c>
      <c r="I86" s="229"/>
      <c r="J86" s="19"/>
      <c r="K86" s="239" t="s">
        <v>103</v>
      </c>
      <c r="L86" s="239">
        <v>56</v>
      </c>
      <c r="N86" s="228" t="s">
        <v>128</v>
      </c>
      <c r="O86" s="229"/>
      <c r="P86" s="229"/>
      <c r="Q86" s="239" t="s">
        <v>191</v>
      </c>
      <c r="R86" s="239">
        <v>1.5</v>
      </c>
      <c r="U86" s="228" t="s">
        <v>198</v>
      </c>
      <c r="V86" s="229"/>
      <c r="W86" s="229"/>
      <c r="X86" s="243"/>
      <c r="Y86" s="239">
        <v>3</v>
      </c>
      <c r="AA86" s="250" t="str">
        <f t="shared" si="5"/>
        <v>Caravan Park</v>
      </c>
      <c r="AB86" s="251"/>
      <c r="AC86" s="252"/>
      <c r="AD86" s="253" t="str">
        <f t="shared" si="6"/>
        <v>site</v>
      </c>
      <c r="AE86" s="254">
        <f t="shared" si="7"/>
        <v>1.5</v>
      </c>
      <c r="AG86" s="250" t="str">
        <f t="shared" si="2"/>
        <v xml:space="preserve"> </v>
      </c>
      <c r="AH86" s="251"/>
      <c r="AI86" s="252"/>
      <c r="AJ86" s="251" t="str">
        <f t="shared" si="3"/>
        <v xml:space="preserve"> </v>
      </c>
      <c r="AK86" s="260" t="str">
        <f t="shared" si="4"/>
        <v xml:space="preserve"> </v>
      </c>
    </row>
    <row r="87" spans="2:37" ht="16.2" x14ac:dyDescent="0.25">
      <c r="B87" s="393" t="s">
        <v>565</v>
      </c>
      <c r="C87" s="230"/>
      <c r="D87" s="230"/>
      <c r="E87" s="190" t="s">
        <v>102</v>
      </c>
      <c r="F87" s="189">
        <v>2.8</v>
      </c>
      <c r="H87" s="228" t="s">
        <v>89</v>
      </c>
      <c r="I87" s="229"/>
      <c r="J87" s="19"/>
      <c r="K87" s="239" t="s">
        <v>103</v>
      </c>
      <c r="L87" s="239">
        <v>56</v>
      </c>
      <c r="N87" s="228" t="s">
        <v>110</v>
      </c>
      <c r="O87" s="229"/>
      <c r="P87" s="229"/>
      <c r="Q87" s="239" t="s">
        <v>130</v>
      </c>
      <c r="R87" s="239">
        <v>2</v>
      </c>
      <c r="U87" s="228" t="s">
        <v>199</v>
      </c>
      <c r="V87" s="229"/>
      <c r="W87" s="229"/>
      <c r="X87" s="243"/>
      <c r="Y87" s="239">
        <v>1</v>
      </c>
      <c r="AA87" s="250" t="str">
        <f t="shared" si="5"/>
        <v>Caretakers Residence</v>
      </c>
      <c r="AB87" s="251"/>
      <c r="AC87" s="252"/>
      <c r="AD87" s="253" t="str">
        <f t="shared" si="6"/>
        <v>dwelling unit</v>
      </c>
      <c r="AE87" s="254">
        <f t="shared" si="7"/>
        <v>2</v>
      </c>
      <c r="AG87" s="250" t="str">
        <f t="shared" si="2"/>
        <v xml:space="preserve"> </v>
      </c>
      <c r="AH87" s="251"/>
      <c r="AI87" s="252"/>
      <c r="AJ87" s="251" t="str">
        <f t="shared" si="3"/>
        <v xml:space="preserve"> </v>
      </c>
      <c r="AK87" s="260" t="str">
        <f t="shared" si="4"/>
        <v xml:space="preserve"> </v>
      </c>
    </row>
    <row r="88" spans="2:37" x14ac:dyDescent="0.25">
      <c r="B88" s="61" t="s">
        <v>158</v>
      </c>
      <c r="E88" s="61" t="s">
        <v>158</v>
      </c>
      <c r="F88" s="61" t="s">
        <v>158</v>
      </c>
      <c r="H88" s="228" t="s">
        <v>90</v>
      </c>
      <c r="I88" s="229"/>
      <c r="J88" s="19"/>
      <c r="K88" s="239" t="s">
        <v>103</v>
      </c>
      <c r="L88" s="239">
        <v>31</v>
      </c>
      <c r="N88" s="228" t="s">
        <v>114</v>
      </c>
      <c r="O88" s="229"/>
      <c r="P88" s="229"/>
      <c r="Q88" s="239" t="s">
        <v>238</v>
      </c>
      <c r="R88" s="239" t="s">
        <v>239</v>
      </c>
      <c r="U88" s="228" t="s">
        <v>200</v>
      </c>
      <c r="V88" s="229"/>
      <c r="W88" s="229"/>
      <c r="X88" s="243"/>
      <c r="Y88" s="239">
        <v>1</v>
      </c>
      <c r="AA88" s="250" t="str">
        <f t="shared" si="5"/>
        <v>Catering Shop</v>
      </c>
      <c r="AB88" s="251"/>
      <c r="AC88" s="252"/>
      <c r="AD88" s="253" t="str">
        <f t="shared" si="6"/>
        <v>fixture</v>
      </c>
      <c r="AE88" s="254" t="str">
        <f t="shared" si="7"/>
        <v>1/5 or part</v>
      </c>
      <c r="AG88" s="250" t="str">
        <f t="shared" si="2"/>
        <v xml:space="preserve"> </v>
      </c>
      <c r="AH88" s="251"/>
      <c r="AI88" s="252"/>
      <c r="AJ88" s="251" t="str">
        <f t="shared" si="3"/>
        <v xml:space="preserve"> </v>
      </c>
      <c r="AK88" s="260" t="str">
        <f t="shared" si="4"/>
        <v xml:space="preserve"> </v>
      </c>
    </row>
    <row r="89" spans="2:37" x14ac:dyDescent="0.25">
      <c r="B89" s="61" t="s">
        <v>158</v>
      </c>
      <c r="E89" s="61" t="s">
        <v>158</v>
      </c>
      <c r="F89" s="61" t="s">
        <v>158</v>
      </c>
      <c r="H89" s="228" t="s">
        <v>81</v>
      </c>
      <c r="I89" s="229"/>
      <c r="J89" s="19"/>
      <c r="K89" s="239" t="s">
        <v>103</v>
      </c>
      <c r="L89" s="239">
        <v>70</v>
      </c>
      <c r="N89" s="228" t="s">
        <v>115</v>
      </c>
      <c r="O89" s="229"/>
      <c r="P89" s="229"/>
      <c r="Q89" s="239" t="s">
        <v>238</v>
      </c>
      <c r="R89" s="239" t="s">
        <v>239</v>
      </c>
      <c r="U89" s="228" t="s">
        <v>201</v>
      </c>
      <c r="V89" s="229"/>
      <c r="W89" s="229"/>
      <c r="X89" s="243"/>
      <c r="Y89" s="239">
        <v>4</v>
      </c>
      <c r="AA89" s="250" t="str">
        <f t="shared" si="5"/>
        <v>Child Care Centre</v>
      </c>
      <c r="AB89" s="251"/>
      <c r="AC89" s="252"/>
      <c r="AD89" s="253" t="str">
        <f t="shared" si="6"/>
        <v>fixture</v>
      </c>
      <c r="AE89" s="254" t="str">
        <f t="shared" si="7"/>
        <v>1/5 or part</v>
      </c>
      <c r="AG89" s="250" t="str">
        <f t="shared" si="2"/>
        <v xml:space="preserve"> </v>
      </c>
      <c r="AH89" s="251"/>
      <c r="AI89" s="252"/>
      <c r="AJ89" s="251" t="str">
        <f t="shared" si="3"/>
        <v xml:space="preserve"> </v>
      </c>
      <c r="AK89" s="260" t="str">
        <f t="shared" si="4"/>
        <v xml:space="preserve"> </v>
      </c>
    </row>
    <row r="90" spans="2:37" x14ac:dyDescent="0.25">
      <c r="B90" s="61" t="s">
        <v>158</v>
      </c>
      <c r="E90" s="61" t="s">
        <v>158</v>
      </c>
      <c r="F90" s="61" t="s">
        <v>158</v>
      </c>
      <c r="H90" s="228" t="s">
        <v>94</v>
      </c>
      <c r="I90" s="229"/>
      <c r="J90" s="19"/>
      <c r="K90" s="239" t="s">
        <v>103</v>
      </c>
      <c r="L90" s="239">
        <v>20</v>
      </c>
      <c r="N90" s="228" t="s">
        <v>146</v>
      </c>
      <c r="O90" s="229"/>
      <c r="P90" s="229"/>
      <c r="Q90" s="239" t="s">
        <v>193</v>
      </c>
      <c r="R90" s="239">
        <v>0.5</v>
      </c>
      <c r="U90" s="228" t="s">
        <v>202</v>
      </c>
      <c r="V90" s="229"/>
      <c r="W90" s="229"/>
      <c r="X90" s="243"/>
      <c r="Y90" s="239">
        <v>4</v>
      </c>
      <c r="AA90" s="250" t="str">
        <f t="shared" si="5"/>
        <v>Commercial Animal Keeping</v>
      </c>
      <c r="AB90" s="251"/>
      <c r="AC90" s="252"/>
      <c r="AD90" s="253" t="str">
        <f t="shared" si="6"/>
        <v>stal/place</v>
      </c>
      <c r="AE90" s="254">
        <f t="shared" si="7"/>
        <v>0.5</v>
      </c>
      <c r="AG90" s="250" t="str">
        <f t="shared" si="2"/>
        <v xml:space="preserve"> </v>
      </c>
      <c r="AH90" s="251"/>
      <c r="AI90" s="252"/>
      <c r="AJ90" s="251" t="str">
        <f t="shared" si="3"/>
        <v xml:space="preserve"> </v>
      </c>
      <c r="AK90" s="260" t="str">
        <f t="shared" si="4"/>
        <v xml:space="preserve"> </v>
      </c>
    </row>
    <row r="91" spans="2:37" x14ac:dyDescent="0.25">
      <c r="B91" s="61" t="s">
        <v>158</v>
      </c>
      <c r="E91" s="61" t="s">
        <v>158</v>
      </c>
      <c r="F91" s="61" t="s">
        <v>158</v>
      </c>
      <c r="H91" s="228" t="s">
        <v>95</v>
      </c>
      <c r="I91" s="229"/>
      <c r="J91" s="19"/>
      <c r="K91" s="239" t="s">
        <v>103</v>
      </c>
      <c r="L91" s="239">
        <v>8</v>
      </c>
      <c r="N91" s="228" t="s">
        <v>113</v>
      </c>
      <c r="O91" s="229"/>
      <c r="P91" s="229"/>
      <c r="Q91" s="239" t="s">
        <v>130</v>
      </c>
      <c r="R91" s="239">
        <v>2.8</v>
      </c>
      <c r="U91" s="228" t="s">
        <v>203</v>
      </c>
      <c r="V91" s="229"/>
      <c r="W91" s="229"/>
      <c r="X91" s="243"/>
      <c r="Y91" s="239">
        <v>6</v>
      </c>
      <c r="AA91" s="250" t="str">
        <f t="shared" si="5"/>
        <v>Detached House</v>
      </c>
      <c r="AB91" s="251"/>
      <c r="AC91" s="252"/>
      <c r="AD91" s="253" t="str">
        <f t="shared" si="6"/>
        <v>dwelling unit</v>
      </c>
      <c r="AE91" s="254">
        <f t="shared" si="7"/>
        <v>2.8</v>
      </c>
      <c r="AG91" s="250" t="str">
        <f t="shared" si="2"/>
        <v xml:space="preserve"> </v>
      </c>
      <c r="AH91" s="251"/>
      <c r="AI91" s="252"/>
      <c r="AJ91" s="251" t="str">
        <f t="shared" si="3"/>
        <v xml:space="preserve"> </v>
      </c>
      <c r="AK91" s="260" t="str">
        <f t="shared" si="4"/>
        <v xml:space="preserve"> </v>
      </c>
    </row>
    <row r="92" spans="2:37" x14ac:dyDescent="0.25">
      <c r="B92" s="61" t="s">
        <v>158</v>
      </c>
      <c r="E92" s="61" t="s">
        <v>158</v>
      </c>
      <c r="F92" s="61" t="s">
        <v>158</v>
      </c>
      <c r="H92" s="228" t="s">
        <v>91</v>
      </c>
      <c r="I92" s="229"/>
      <c r="J92" s="19"/>
      <c r="K92" s="239" t="s">
        <v>103</v>
      </c>
      <c r="L92" s="239">
        <v>20</v>
      </c>
      <c r="N92" s="228" t="s">
        <v>111</v>
      </c>
      <c r="O92" s="229"/>
      <c r="P92" s="229"/>
      <c r="Q92" s="239" t="s">
        <v>130</v>
      </c>
      <c r="R92" s="239">
        <v>2</v>
      </c>
      <c r="U92" s="228" t="s">
        <v>204</v>
      </c>
      <c r="V92" s="229"/>
      <c r="W92" s="229"/>
      <c r="X92" s="243"/>
      <c r="Y92" s="239">
        <v>1</v>
      </c>
      <c r="AA92" s="250" t="str">
        <f t="shared" si="5"/>
        <v>Dual Occupancy</v>
      </c>
      <c r="AB92" s="251"/>
      <c r="AC92" s="252"/>
      <c r="AD92" s="253" t="str">
        <f t="shared" si="6"/>
        <v>dwelling unit</v>
      </c>
      <c r="AE92" s="254">
        <f t="shared" si="7"/>
        <v>2</v>
      </c>
      <c r="AG92" s="250" t="str">
        <f t="shared" si="2"/>
        <v xml:space="preserve"> </v>
      </c>
      <c r="AH92" s="251"/>
      <c r="AI92" s="252"/>
      <c r="AJ92" s="251" t="str">
        <f t="shared" si="3"/>
        <v xml:space="preserve"> </v>
      </c>
      <c r="AK92" s="260" t="str">
        <f t="shared" si="4"/>
        <v xml:space="preserve"> </v>
      </c>
    </row>
    <row r="93" spans="2:37" x14ac:dyDescent="0.25">
      <c r="B93" s="61" t="s">
        <v>158</v>
      </c>
      <c r="E93" s="61" t="s">
        <v>158</v>
      </c>
      <c r="F93" s="61" t="s">
        <v>158</v>
      </c>
      <c r="H93" s="228" t="s">
        <v>84</v>
      </c>
      <c r="I93" s="229"/>
      <c r="J93" s="19"/>
      <c r="K93" s="239" t="s">
        <v>103</v>
      </c>
      <c r="L93" s="239">
        <v>56</v>
      </c>
      <c r="N93" s="228" t="s">
        <v>145</v>
      </c>
      <c r="O93" s="229"/>
      <c r="P93" s="229"/>
      <c r="Q93" s="239" t="s">
        <v>238</v>
      </c>
      <c r="R93" s="239" t="s">
        <v>239</v>
      </c>
      <c r="U93" s="228" t="s">
        <v>205</v>
      </c>
      <c r="V93" s="229"/>
      <c r="W93" s="229"/>
      <c r="X93" s="243"/>
      <c r="Y93" s="239">
        <v>4</v>
      </c>
      <c r="AA93" s="250" t="str">
        <f t="shared" si="5"/>
        <v>Educational Establishment</v>
      </c>
      <c r="AB93" s="251"/>
      <c r="AC93" s="252"/>
      <c r="AD93" s="253" t="str">
        <f t="shared" si="6"/>
        <v>fixture</v>
      </c>
      <c r="AE93" s="254" t="str">
        <f t="shared" si="7"/>
        <v>1/5 or part</v>
      </c>
      <c r="AG93" s="250" t="str">
        <f t="shared" si="2"/>
        <v xml:space="preserve"> </v>
      </c>
      <c r="AH93" s="251"/>
      <c r="AI93" s="252"/>
      <c r="AJ93" s="251" t="str">
        <f t="shared" si="3"/>
        <v xml:space="preserve"> </v>
      </c>
      <c r="AK93" s="260" t="str">
        <f t="shared" si="4"/>
        <v xml:space="preserve"> </v>
      </c>
    </row>
    <row r="94" spans="2:37" x14ac:dyDescent="0.25">
      <c r="B94" s="61" t="s">
        <v>158</v>
      </c>
      <c r="E94" s="61" t="s">
        <v>158</v>
      </c>
      <c r="F94" s="61" t="s">
        <v>158</v>
      </c>
      <c r="H94" s="228" t="s">
        <v>92</v>
      </c>
      <c r="I94" s="229"/>
      <c r="J94" s="19"/>
      <c r="K94" s="239" t="s">
        <v>103</v>
      </c>
      <c r="L94" s="239">
        <v>20</v>
      </c>
      <c r="N94" s="228" t="s">
        <v>116</v>
      </c>
      <c r="O94" s="229"/>
      <c r="P94" s="229"/>
      <c r="Q94" s="239" t="s">
        <v>238</v>
      </c>
      <c r="R94" s="239" t="s">
        <v>239</v>
      </c>
      <c r="U94" s="228" t="s">
        <v>206</v>
      </c>
      <c r="V94" s="229"/>
      <c r="W94" s="229"/>
      <c r="X94" s="243"/>
      <c r="Y94" s="239">
        <v>1</v>
      </c>
      <c r="AA94" s="250" t="str">
        <f t="shared" si="5"/>
        <v>Fast Food Outlet</v>
      </c>
      <c r="AB94" s="251"/>
      <c r="AC94" s="252"/>
      <c r="AD94" s="253" t="str">
        <f t="shared" si="6"/>
        <v>fixture</v>
      </c>
      <c r="AE94" s="254" t="str">
        <f t="shared" si="7"/>
        <v>1/5 or part</v>
      </c>
      <c r="AG94" s="250" t="str">
        <f t="shared" si="2"/>
        <v xml:space="preserve"> </v>
      </c>
      <c r="AH94" s="251"/>
      <c r="AI94" s="252"/>
      <c r="AJ94" s="251" t="str">
        <f t="shared" si="3"/>
        <v xml:space="preserve"> </v>
      </c>
      <c r="AK94" s="260" t="str">
        <f t="shared" si="4"/>
        <v xml:space="preserve"> </v>
      </c>
    </row>
    <row r="95" spans="2:37" x14ac:dyDescent="0.25">
      <c r="B95" s="61" t="s">
        <v>158</v>
      </c>
      <c r="E95" s="61" t="s">
        <v>158</v>
      </c>
      <c r="F95" s="61" t="s">
        <v>158</v>
      </c>
      <c r="H95" s="228" t="s">
        <v>82</v>
      </c>
      <c r="I95" s="229"/>
      <c r="J95" s="19"/>
      <c r="K95" s="239" t="s">
        <v>103</v>
      </c>
      <c r="L95" s="239">
        <v>70</v>
      </c>
      <c r="N95" s="228" t="s">
        <v>117</v>
      </c>
      <c r="O95" s="229"/>
      <c r="P95" s="229"/>
      <c r="Q95" s="239" t="s">
        <v>238</v>
      </c>
      <c r="R95" s="239" t="s">
        <v>239</v>
      </c>
      <c r="U95" s="228" t="s">
        <v>207</v>
      </c>
      <c r="V95" s="229"/>
      <c r="W95" s="229"/>
      <c r="X95" s="243"/>
      <c r="Y95" s="239">
        <v>5</v>
      </c>
      <c r="AA95" s="250" t="str">
        <f t="shared" si="5"/>
        <v>Funeral Directors Premises</v>
      </c>
      <c r="AB95" s="251"/>
      <c r="AC95" s="252"/>
      <c r="AD95" s="253" t="str">
        <f t="shared" si="6"/>
        <v>fixture</v>
      </c>
      <c r="AE95" s="254" t="str">
        <f t="shared" si="7"/>
        <v>1/5 or part</v>
      </c>
      <c r="AG95" s="250" t="str">
        <f t="shared" si="2"/>
        <v xml:space="preserve"> </v>
      </c>
      <c r="AH95" s="251"/>
      <c r="AI95" s="252"/>
      <c r="AJ95" s="251" t="str">
        <f t="shared" si="3"/>
        <v xml:space="preserve"> </v>
      </c>
      <c r="AK95" s="260" t="str">
        <f t="shared" si="4"/>
        <v xml:space="preserve"> </v>
      </c>
    </row>
    <row r="96" spans="2:37" x14ac:dyDescent="0.25">
      <c r="B96" s="61" t="s">
        <v>158</v>
      </c>
      <c r="E96" s="61" t="s">
        <v>158</v>
      </c>
      <c r="F96" s="61" t="s">
        <v>158</v>
      </c>
      <c r="H96" s="228" t="s">
        <v>78</v>
      </c>
      <c r="I96" s="229"/>
      <c r="J96" s="19"/>
      <c r="K96" s="239" t="s">
        <v>103</v>
      </c>
      <c r="L96" s="239">
        <v>33</v>
      </c>
      <c r="N96" s="228" t="s">
        <v>135</v>
      </c>
      <c r="O96" s="229"/>
      <c r="P96" s="229"/>
      <c r="Q96" s="239" t="s">
        <v>238</v>
      </c>
      <c r="R96" s="239" t="s">
        <v>239</v>
      </c>
      <c r="U96" s="228" t="s">
        <v>208</v>
      </c>
      <c r="V96" s="229"/>
      <c r="W96" s="229"/>
      <c r="X96" s="243"/>
      <c r="Y96" s="239">
        <v>6</v>
      </c>
      <c r="AA96" s="250" t="str">
        <f t="shared" si="5"/>
        <v>General Industry</v>
      </c>
      <c r="AB96" s="251"/>
      <c r="AC96" s="252"/>
      <c r="AD96" s="253" t="str">
        <f t="shared" si="6"/>
        <v>fixture</v>
      </c>
      <c r="AE96" s="254" t="str">
        <f t="shared" si="7"/>
        <v>1/5 or part</v>
      </c>
      <c r="AG96" s="250" t="str">
        <f t="shared" si="2"/>
        <v xml:space="preserve"> </v>
      </c>
      <c r="AH96" s="251"/>
      <c r="AI96" s="252"/>
      <c r="AJ96" s="251" t="str">
        <f t="shared" si="3"/>
        <v xml:space="preserve"> </v>
      </c>
      <c r="AK96" s="260" t="str">
        <f t="shared" si="4"/>
        <v xml:space="preserve"> </v>
      </c>
    </row>
    <row r="97" spans="2:37" x14ac:dyDescent="0.25">
      <c r="B97" s="61" t="s">
        <v>158</v>
      </c>
      <c r="E97" s="61" t="s">
        <v>158</v>
      </c>
      <c r="F97" s="61" t="s">
        <v>158</v>
      </c>
      <c r="H97" s="228" t="s">
        <v>83</v>
      </c>
      <c r="I97" s="229"/>
      <c r="J97" s="19"/>
      <c r="K97" s="239" t="s">
        <v>103</v>
      </c>
      <c r="L97" s="239">
        <v>56</v>
      </c>
      <c r="N97" s="228" t="s">
        <v>133</v>
      </c>
      <c r="O97" s="229"/>
      <c r="P97" s="229"/>
      <c r="Q97" s="239" t="s">
        <v>104</v>
      </c>
      <c r="R97" s="239">
        <v>0</v>
      </c>
      <c r="U97" s="228" t="s">
        <v>209</v>
      </c>
      <c r="V97" s="229"/>
      <c r="W97" s="229"/>
      <c r="X97" s="243"/>
      <c r="Y97" s="239">
        <v>1</v>
      </c>
      <c r="AA97" s="250" t="str">
        <f t="shared" si="5"/>
        <v>Home Based Business</v>
      </c>
      <c r="AB97" s="251"/>
      <c r="AC97" s="252"/>
      <c r="AD97" s="253" t="str">
        <f t="shared" si="6"/>
        <v>N/A</v>
      </c>
      <c r="AE97" s="254">
        <f t="shared" si="7"/>
        <v>0</v>
      </c>
      <c r="AG97" s="250" t="str">
        <f t="shared" si="2"/>
        <v xml:space="preserve"> </v>
      </c>
      <c r="AH97" s="251"/>
      <c r="AI97" s="252"/>
      <c r="AJ97" s="251" t="str">
        <f t="shared" si="3"/>
        <v xml:space="preserve"> </v>
      </c>
      <c r="AK97" s="260" t="str">
        <f t="shared" si="4"/>
        <v xml:space="preserve"> </v>
      </c>
    </row>
    <row r="98" spans="2:37" x14ac:dyDescent="0.25">
      <c r="B98" s="61" t="s">
        <v>158</v>
      </c>
      <c r="E98" s="61" t="s">
        <v>158</v>
      </c>
      <c r="F98" s="61" t="s">
        <v>158</v>
      </c>
      <c r="H98" s="228" t="s">
        <v>79</v>
      </c>
      <c r="I98" s="229"/>
      <c r="J98" s="19"/>
      <c r="K98" s="239" t="s">
        <v>103</v>
      </c>
      <c r="L98" s="239">
        <v>32</v>
      </c>
      <c r="N98" s="228" t="s">
        <v>143</v>
      </c>
      <c r="O98" s="229"/>
      <c r="P98" s="229"/>
      <c r="Q98" s="239" t="s">
        <v>189</v>
      </c>
      <c r="R98" s="239">
        <v>0.5</v>
      </c>
      <c r="U98" s="228" t="s">
        <v>210</v>
      </c>
      <c r="V98" s="229"/>
      <c r="W98" s="229"/>
      <c r="X98" s="243"/>
      <c r="Y98" s="239">
        <v>3</v>
      </c>
      <c r="AA98" s="250" t="str">
        <f t="shared" si="5"/>
        <v>Hospital</v>
      </c>
      <c r="AB98" s="251"/>
      <c r="AC98" s="252"/>
      <c r="AD98" s="253" t="str">
        <f t="shared" si="6"/>
        <v>single bed</v>
      </c>
      <c r="AE98" s="254">
        <f t="shared" si="7"/>
        <v>0.5</v>
      </c>
      <c r="AG98" s="250" t="str">
        <f t="shared" si="2"/>
        <v xml:space="preserve"> </v>
      </c>
      <c r="AH98" s="251"/>
      <c r="AI98" s="252"/>
      <c r="AJ98" s="251" t="str">
        <f t="shared" si="3"/>
        <v xml:space="preserve"> </v>
      </c>
      <c r="AK98" s="260" t="str">
        <f t="shared" si="4"/>
        <v xml:space="preserve"> </v>
      </c>
    </row>
    <row r="99" spans="2:37" x14ac:dyDescent="0.25">
      <c r="B99" s="61" t="s">
        <v>158</v>
      </c>
      <c r="E99" s="61" t="s">
        <v>158</v>
      </c>
      <c r="F99" s="61" t="s">
        <v>158</v>
      </c>
      <c r="H99" s="228" t="s">
        <v>80</v>
      </c>
      <c r="I99" s="229"/>
      <c r="J99" s="19"/>
      <c r="K99" s="239" t="s">
        <v>103</v>
      </c>
      <c r="L99" s="239">
        <v>0</v>
      </c>
      <c r="N99" s="228" t="s">
        <v>131</v>
      </c>
      <c r="O99" s="229"/>
      <c r="P99" s="229"/>
      <c r="Q99" s="239" t="s">
        <v>194</v>
      </c>
      <c r="R99" s="239">
        <v>1.5</v>
      </c>
      <c r="U99" s="228" t="s">
        <v>211</v>
      </c>
      <c r="V99" s="229"/>
      <c r="W99" s="229"/>
      <c r="X99" s="243"/>
      <c r="Y99" s="239">
        <v>1</v>
      </c>
      <c r="AA99" s="250" t="str">
        <f t="shared" si="5"/>
        <v>Hotel (accomodation component)</v>
      </c>
      <c r="AB99" s="251"/>
      <c r="AC99" s="252"/>
      <c r="AD99" s="253" t="str">
        <f t="shared" si="6"/>
        <v>room</v>
      </c>
      <c r="AE99" s="254">
        <f t="shared" si="7"/>
        <v>1.5</v>
      </c>
      <c r="AG99" s="250" t="str">
        <f t="shared" si="2"/>
        <v xml:space="preserve"> </v>
      </c>
      <c r="AH99" s="251"/>
      <c r="AI99" s="252"/>
      <c r="AJ99" s="251" t="str">
        <f t="shared" si="3"/>
        <v xml:space="preserve"> </v>
      </c>
      <c r="AK99" s="260" t="str">
        <f t="shared" si="4"/>
        <v xml:space="preserve"> </v>
      </c>
    </row>
    <row r="100" spans="2:37" x14ac:dyDescent="0.25">
      <c r="B100" s="61" t="s">
        <v>158</v>
      </c>
      <c r="E100" s="61" t="s">
        <v>158</v>
      </c>
      <c r="F100" s="61" t="s">
        <v>158</v>
      </c>
      <c r="H100" s="228" t="s">
        <v>85</v>
      </c>
      <c r="I100" s="229"/>
      <c r="J100" s="19"/>
      <c r="K100" s="239" t="s">
        <v>103</v>
      </c>
      <c r="L100" s="239">
        <v>56</v>
      </c>
      <c r="N100" s="228" t="s">
        <v>132</v>
      </c>
      <c r="O100" s="229"/>
      <c r="P100" s="229"/>
      <c r="Q100" s="239" t="s">
        <v>238</v>
      </c>
      <c r="R100" s="239" t="s">
        <v>239</v>
      </c>
      <c r="U100" s="228" t="s">
        <v>212</v>
      </c>
      <c r="V100" s="229"/>
      <c r="W100" s="229"/>
      <c r="X100" s="243"/>
      <c r="Y100" s="239">
        <v>3</v>
      </c>
      <c r="AA100" s="250" t="str">
        <f t="shared" si="5"/>
        <v>Hotel (non-accomodation component)</v>
      </c>
      <c r="AB100" s="251"/>
      <c r="AC100" s="252"/>
      <c r="AD100" s="253" t="str">
        <f t="shared" si="6"/>
        <v>fixture</v>
      </c>
      <c r="AE100" s="254" t="str">
        <f t="shared" si="7"/>
        <v>1/5 or part</v>
      </c>
      <c r="AG100" s="250" t="str">
        <f t="shared" si="2"/>
        <v xml:space="preserve"> </v>
      </c>
      <c r="AH100" s="251"/>
      <c r="AI100" s="252"/>
      <c r="AJ100" s="251" t="str">
        <f t="shared" si="3"/>
        <v xml:space="preserve"> </v>
      </c>
      <c r="AK100" s="260" t="str">
        <f t="shared" si="4"/>
        <v xml:space="preserve"> </v>
      </c>
    </row>
    <row r="101" spans="2:37" x14ac:dyDescent="0.25">
      <c r="B101" s="61" t="s">
        <v>158</v>
      </c>
      <c r="E101" s="61" t="s">
        <v>158</v>
      </c>
      <c r="F101" s="61" t="s">
        <v>158</v>
      </c>
      <c r="H101" s="228" t="s">
        <v>76</v>
      </c>
      <c r="I101" s="229"/>
      <c r="J101" s="19"/>
      <c r="K101" s="239" t="s">
        <v>103</v>
      </c>
      <c r="L101" s="239">
        <v>32</v>
      </c>
      <c r="N101" s="228" t="s">
        <v>118</v>
      </c>
      <c r="O101" s="229"/>
      <c r="P101" s="229"/>
      <c r="Q101" s="239" t="s">
        <v>238</v>
      </c>
      <c r="R101" s="239" t="s">
        <v>239</v>
      </c>
      <c r="U101" s="228" t="s">
        <v>229</v>
      </c>
      <c r="V101" s="229"/>
      <c r="W101" s="229"/>
      <c r="X101" s="243"/>
      <c r="Y101" s="239">
        <v>6</v>
      </c>
      <c r="AA101" s="250" t="str">
        <f t="shared" si="5"/>
        <v>Indoor Recreation</v>
      </c>
      <c r="AB101" s="251"/>
      <c r="AC101" s="252"/>
      <c r="AD101" s="253" t="str">
        <f t="shared" si="6"/>
        <v>fixture</v>
      </c>
      <c r="AE101" s="254" t="str">
        <f t="shared" si="7"/>
        <v>1/5 or part</v>
      </c>
      <c r="AG101" s="250" t="str">
        <f t="shared" si="2"/>
        <v xml:space="preserve"> </v>
      </c>
      <c r="AH101" s="251"/>
      <c r="AI101" s="252"/>
      <c r="AJ101" s="251" t="str">
        <f t="shared" si="3"/>
        <v xml:space="preserve"> </v>
      </c>
      <c r="AK101" s="260" t="str">
        <f t="shared" si="4"/>
        <v xml:space="preserve"> </v>
      </c>
    </row>
    <row r="102" spans="2:37" x14ac:dyDescent="0.25">
      <c r="B102" s="61" t="s">
        <v>158</v>
      </c>
      <c r="E102" s="61" t="s">
        <v>158</v>
      </c>
      <c r="F102" s="61" t="s">
        <v>158</v>
      </c>
      <c r="H102" s="228" t="s">
        <v>158</v>
      </c>
      <c r="I102" s="229"/>
      <c r="J102" s="19"/>
      <c r="K102" s="239" t="s">
        <v>158</v>
      </c>
      <c r="L102" s="239" t="s">
        <v>158</v>
      </c>
      <c r="N102" s="228" t="s">
        <v>144</v>
      </c>
      <c r="O102" s="229"/>
      <c r="P102" s="229"/>
      <c r="Q102" s="239" t="s">
        <v>189</v>
      </c>
      <c r="R102" s="239">
        <v>0.5</v>
      </c>
      <c r="U102" s="228" t="s">
        <v>214</v>
      </c>
      <c r="V102" s="229"/>
      <c r="W102" s="229"/>
      <c r="X102" s="243"/>
      <c r="Y102" s="239">
        <v>3</v>
      </c>
      <c r="AA102" s="250" t="str">
        <f t="shared" si="5"/>
        <v>Institutional Residence</v>
      </c>
      <c r="AB102" s="251"/>
      <c r="AC102" s="252"/>
      <c r="AD102" s="253" t="str">
        <f t="shared" si="6"/>
        <v>single bed</v>
      </c>
      <c r="AE102" s="254">
        <f t="shared" si="7"/>
        <v>0.5</v>
      </c>
      <c r="AG102" s="250" t="str">
        <f t="shared" si="2"/>
        <v xml:space="preserve"> </v>
      </c>
      <c r="AH102" s="251"/>
      <c r="AI102" s="252"/>
      <c r="AJ102" s="251" t="str">
        <f t="shared" si="3"/>
        <v xml:space="preserve"> </v>
      </c>
      <c r="AK102" s="260" t="str">
        <f t="shared" si="4"/>
        <v xml:space="preserve"> </v>
      </c>
    </row>
    <row r="103" spans="2:37" x14ac:dyDescent="0.25">
      <c r="B103" s="61" t="s">
        <v>158</v>
      </c>
      <c r="E103" s="61" t="s">
        <v>158</v>
      </c>
      <c r="F103" s="61" t="s">
        <v>158</v>
      </c>
      <c r="H103" s="228" t="s">
        <v>158</v>
      </c>
      <c r="I103" s="229"/>
      <c r="J103" s="19"/>
      <c r="K103" s="239" t="s">
        <v>158</v>
      </c>
      <c r="L103" s="239" t="s">
        <v>158</v>
      </c>
      <c r="N103" s="228" t="s">
        <v>119</v>
      </c>
      <c r="O103" s="229"/>
      <c r="P103" s="229"/>
      <c r="Q103" s="239" t="s">
        <v>238</v>
      </c>
      <c r="R103" s="239" t="s">
        <v>239</v>
      </c>
      <c r="U103" s="228" t="s">
        <v>215</v>
      </c>
      <c r="V103" s="229"/>
      <c r="W103" s="229"/>
      <c r="X103" s="243"/>
      <c r="Y103" s="239">
        <v>5</v>
      </c>
      <c r="AA103" s="250" t="str">
        <f t="shared" si="5"/>
        <v>Landscaping Supplies</v>
      </c>
      <c r="AB103" s="251"/>
      <c r="AC103" s="252"/>
      <c r="AD103" s="253" t="str">
        <f t="shared" si="6"/>
        <v>fixture</v>
      </c>
      <c r="AE103" s="254" t="str">
        <f t="shared" si="7"/>
        <v>1/5 or part</v>
      </c>
      <c r="AG103" s="250" t="str">
        <f t="shared" si="2"/>
        <v xml:space="preserve"> </v>
      </c>
      <c r="AH103" s="251"/>
      <c r="AI103" s="252"/>
      <c r="AJ103" s="251" t="str">
        <f t="shared" si="3"/>
        <v xml:space="preserve"> </v>
      </c>
      <c r="AK103" s="260" t="str">
        <f t="shared" si="4"/>
        <v xml:space="preserve"> </v>
      </c>
    </row>
    <row r="104" spans="2:37" x14ac:dyDescent="0.25">
      <c r="B104" s="61" t="s">
        <v>158</v>
      </c>
      <c r="E104" s="61" t="s">
        <v>158</v>
      </c>
      <c r="F104" s="61" t="s">
        <v>158</v>
      </c>
      <c r="H104" s="228" t="s">
        <v>158</v>
      </c>
      <c r="I104" s="229"/>
      <c r="J104" s="19"/>
      <c r="K104" s="239" t="s">
        <v>158</v>
      </c>
      <c r="L104" s="239" t="s">
        <v>158</v>
      </c>
      <c r="N104" s="228" t="s">
        <v>126</v>
      </c>
      <c r="O104" s="229"/>
      <c r="P104" s="229"/>
      <c r="Q104" s="239" t="s">
        <v>192</v>
      </c>
      <c r="R104" s="239">
        <v>1</v>
      </c>
      <c r="U104" s="228" t="s">
        <v>218</v>
      </c>
      <c r="V104" s="229"/>
      <c r="W104" s="229"/>
      <c r="X104" s="243"/>
      <c r="Y104" s="239">
        <v>1</v>
      </c>
      <c r="AA104" s="250" t="str">
        <f t="shared" si="5"/>
        <v>Medical Centre</v>
      </c>
      <c r="AB104" s="251"/>
      <c r="AC104" s="252"/>
      <c r="AD104" s="253" t="str">
        <f t="shared" si="6"/>
        <v>practicioner</v>
      </c>
      <c r="AE104" s="254">
        <f t="shared" si="7"/>
        <v>1</v>
      </c>
      <c r="AG104" s="250" t="str">
        <f t="shared" si="2"/>
        <v xml:space="preserve"> </v>
      </c>
      <c r="AH104" s="251"/>
      <c r="AI104" s="252"/>
      <c r="AJ104" s="251" t="str">
        <f t="shared" si="3"/>
        <v xml:space="preserve"> </v>
      </c>
      <c r="AK104" s="260" t="str">
        <f t="shared" si="4"/>
        <v xml:space="preserve"> </v>
      </c>
    </row>
    <row r="105" spans="2:37" x14ac:dyDescent="0.25">
      <c r="B105" s="61" t="s">
        <v>158</v>
      </c>
      <c r="E105" s="61" t="s">
        <v>158</v>
      </c>
      <c r="F105" s="61" t="s">
        <v>158</v>
      </c>
      <c r="H105" s="228" t="s">
        <v>158</v>
      </c>
      <c r="I105" s="229"/>
      <c r="J105" s="19"/>
      <c r="K105" s="239" t="s">
        <v>158</v>
      </c>
      <c r="L105" s="239" t="s">
        <v>158</v>
      </c>
      <c r="N105" s="228" t="s">
        <v>129</v>
      </c>
      <c r="O105" s="229"/>
      <c r="P105" s="229"/>
      <c r="Q105" s="239" t="s">
        <v>191</v>
      </c>
      <c r="R105" s="239">
        <v>1.5</v>
      </c>
      <c r="U105" s="228" t="s">
        <v>217</v>
      </c>
      <c r="V105" s="229"/>
      <c r="W105" s="229"/>
      <c r="X105" s="243"/>
      <c r="Y105" s="239">
        <v>5</v>
      </c>
      <c r="AA105" s="250" t="str">
        <f t="shared" si="5"/>
        <v>Motel</v>
      </c>
      <c r="AB105" s="251"/>
      <c r="AC105" s="252"/>
      <c r="AD105" s="253" t="str">
        <f t="shared" si="6"/>
        <v>site</v>
      </c>
      <c r="AE105" s="254">
        <f t="shared" si="7"/>
        <v>1.5</v>
      </c>
      <c r="AG105" s="250" t="str">
        <f t="shared" si="2"/>
        <v xml:space="preserve"> </v>
      </c>
      <c r="AH105" s="251"/>
      <c r="AI105" s="252"/>
      <c r="AJ105" s="251" t="str">
        <f t="shared" si="3"/>
        <v xml:space="preserve"> </v>
      </c>
      <c r="AK105" s="260" t="str">
        <f t="shared" si="4"/>
        <v xml:space="preserve"> </v>
      </c>
    </row>
    <row r="106" spans="2:37" x14ac:dyDescent="0.25">
      <c r="B106" s="61" t="s">
        <v>158</v>
      </c>
      <c r="E106" s="61" t="s">
        <v>158</v>
      </c>
      <c r="F106" s="61" t="s">
        <v>158</v>
      </c>
      <c r="H106" s="228" t="s">
        <v>158</v>
      </c>
      <c r="I106" s="229"/>
      <c r="J106" s="19"/>
      <c r="K106" s="239" t="s">
        <v>158</v>
      </c>
      <c r="L106" s="239" t="s">
        <v>158</v>
      </c>
      <c r="N106" s="228" t="s">
        <v>112</v>
      </c>
      <c r="O106" s="229"/>
      <c r="P106" s="229"/>
      <c r="Q106" s="239" t="s">
        <v>130</v>
      </c>
      <c r="R106" s="239">
        <v>2</v>
      </c>
      <c r="U106" s="228" t="s">
        <v>219</v>
      </c>
      <c r="V106" s="229"/>
      <c r="W106" s="229"/>
      <c r="X106" s="243"/>
      <c r="Y106" s="239">
        <v>3</v>
      </c>
      <c r="AA106" s="250" t="str">
        <f t="shared" si="5"/>
        <v>Multiple Dwelling</v>
      </c>
      <c r="AB106" s="251"/>
      <c r="AC106" s="252"/>
      <c r="AD106" s="253" t="str">
        <f t="shared" si="6"/>
        <v>dwelling unit</v>
      </c>
      <c r="AE106" s="254">
        <f t="shared" si="7"/>
        <v>2</v>
      </c>
      <c r="AG106" s="250" t="str">
        <f t="shared" si="2"/>
        <v xml:space="preserve"> </v>
      </c>
      <c r="AH106" s="251"/>
      <c r="AI106" s="252"/>
      <c r="AJ106" s="251" t="str">
        <f t="shared" si="3"/>
        <v xml:space="preserve"> </v>
      </c>
      <c r="AK106" s="260" t="str">
        <f t="shared" si="4"/>
        <v xml:space="preserve"> </v>
      </c>
    </row>
    <row r="107" spans="2:37" x14ac:dyDescent="0.25">
      <c r="B107" s="61" t="s">
        <v>158</v>
      </c>
      <c r="E107" s="61" t="s">
        <v>158</v>
      </c>
      <c r="F107" s="61" t="s">
        <v>158</v>
      </c>
      <c r="H107" s="228" t="s">
        <v>158</v>
      </c>
      <c r="I107" s="229"/>
      <c r="J107" s="19"/>
      <c r="K107" s="239" t="s">
        <v>158</v>
      </c>
      <c r="L107" s="239" t="s">
        <v>158</v>
      </c>
      <c r="N107" s="228" t="s">
        <v>120</v>
      </c>
      <c r="O107" s="229"/>
      <c r="P107" s="229"/>
      <c r="Q107" s="239" t="s">
        <v>238</v>
      </c>
      <c r="R107" s="239" t="s">
        <v>239</v>
      </c>
      <c r="U107" s="228" t="s">
        <v>220</v>
      </c>
      <c r="V107" s="229"/>
      <c r="W107" s="229"/>
      <c r="X107" s="243"/>
      <c r="Y107" s="239">
        <v>1</v>
      </c>
      <c r="AA107" s="250" t="str">
        <f t="shared" si="5"/>
        <v>Office</v>
      </c>
      <c r="AB107" s="251"/>
      <c r="AC107" s="252"/>
      <c r="AD107" s="253" t="str">
        <f t="shared" si="6"/>
        <v>fixture</v>
      </c>
      <c r="AE107" s="254" t="str">
        <f t="shared" si="7"/>
        <v>1/5 or part</v>
      </c>
      <c r="AG107" s="250" t="str">
        <f t="shared" si="2"/>
        <v xml:space="preserve"> </v>
      </c>
      <c r="AH107" s="251"/>
      <c r="AI107" s="252"/>
      <c r="AJ107" s="251" t="str">
        <f t="shared" si="3"/>
        <v xml:space="preserve"> </v>
      </c>
      <c r="AK107" s="260" t="str">
        <f t="shared" si="4"/>
        <v xml:space="preserve"> </v>
      </c>
    </row>
    <row r="108" spans="2:37" x14ac:dyDescent="0.25">
      <c r="B108" s="61" t="s">
        <v>158</v>
      </c>
      <c r="E108" s="61" t="s">
        <v>158</v>
      </c>
      <c r="F108" s="61" t="s">
        <v>158</v>
      </c>
      <c r="H108" s="228" t="s">
        <v>158</v>
      </c>
      <c r="I108" s="229"/>
      <c r="J108" s="19"/>
      <c r="K108" s="239" t="s">
        <v>158</v>
      </c>
      <c r="L108" s="239" t="s">
        <v>158</v>
      </c>
      <c r="N108" s="228" t="s">
        <v>106</v>
      </c>
      <c r="O108" s="229"/>
      <c r="P108" s="229"/>
      <c r="Q108" s="239" t="s">
        <v>105</v>
      </c>
      <c r="R108" s="239" t="s">
        <v>105</v>
      </c>
      <c r="U108" s="228" t="s">
        <v>221</v>
      </c>
      <c r="V108" s="229"/>
      <c r="W108" s="229"/>
      <c r="X108" s="243"/>
      <c r="Y108" s="239">
        <v>3</v>
      </c>
      <c r="AA108" s="250" t="str">
        <f t="shared" si="5"/>
        <v>Other</v>
      </c>
      <c r="AB108" s="251"/>
      <c r="AC108" s="252"/>
      <c r="AD108" s="253" t="str">
        <f t="shared" si="6"/>
        <v>FPA</v>
      </c>
      <c r="AE108" s="254" t="str">
        <f t="shared" si="7"/>
        <v>FPA</v>
      </c>
      <c r="AG108" s="250" t="str">
        <f t="shared" si="2"/>
        <v xml:space="preserve"> </v>
      </c>
      <c r="AH108" s="251"/>
      <c r="AI108" s="252"/>
      <c r="AJ108" s="251" t="str">
        <f t="shared" si="3"/>
        <v xml:space="preserve"> </v>
      </c>
      <c r="AK108" s="260" t="str">
        <f t="shared" si="4"/>
        <v xml:space="preserve"> </v>
      </c>
    </row>
    <row r="109" spans="2:37" x14ac:dyDescent="0.25">
      <c r="B109" s="61" t="s">
        <v>158</v>
      </c>
      <c r="E109" s="61" t="s">
        <v>158</v>
      </c>
      <c r="F109" s="61" t="s">
        <v>158</v>
      </c>
      <c r="H109" s="228" t="s">
        <v>158</v>
      </c>
      <c r="I109" s="229"/>
      <c r="J109" s="19"/>
      <c r="K109" s="239" t="s">
        <v>158</v>
      </c>
      <c r="L109" s="239" t="s">
        <v>158</v>
      </c>
      <c r="N109" s="228" t="s">
        <v>142</v>
      </c>
      <c r="O109" s="229"/>
      <c r="P109" s="229"/>
      <c r="Q109" s="239" t="s">
        <v>104</v>
      </c>
      <c r="R109" s="239">
        <v>0</v>
      </c>
      <c r="U109" s="228" t="s">
        <v>222</v>
      </c>
      <c r="V109" s="229"/>
      <c r="W109" s="243"/>
      <c r="X109" s="243"/>
      <c r="Y109" s="239">
        <v>2</v>
      </c>
      <c r="AA109" s="250" t="str">
        <f t="shared" si="5"/>
        <v>Place of Worship</v>
      </c>
      <c r="AB109" s="251"/>
      <c r="AC109" s="252"/>
      <c r="AD109" s="253" t="str">
        <f t="shared" si="6"/>
        <v>N/A</v>
      </c>
      <c r="AE109" s="254">
        <f t="shared" si="7"/>
        <v>0</v>
      </c>
      <c r="AG109" s="250" t="str">
        <f t="shared" si="2"/>
        <v xml:space="preserve"> </v>
      </c>
      <c r="AH109" s="251"/>
      <c r="AI109" s="252"/>
      <c r="AJ109" s="251" t="str">
        <f t="shared" si="3"/>
        <v xml:space="preserve"> </v>
      </c>
      <c r="AK109" s="260" t="str">
        <f t="shared" si="4"/>
        <v xml:space="preserve"> </v>
      </c>
    </row>
    <row r="110" spans="2:37" x14ac:dyDescent="0.25">
      <c r="B110" s="61" t="s">
        <v>158</v>
      </c>
      <c r="E110" s="61" t="s">
        <v>158</v>
      </c>
      <c r="F110" s="61" t="s">
        <v>158</v>
      </c>
      <c r="H110" s="228" t="s">
        <v>158</v>
      </c>
      <c r="I110" s="229"/>
      <c r="J110" s="19"/>
      <c r="K110" s="239" t="s">
        <v>158</v>
      </c>
      <c r="L110" s="239" t="s">
        <v>158</v>
      </c>
      <c r="N110" s="228" t="s">
        <v>121</v>
      </c>
      <c r="O110" s="229"/>
      <c r="P110" s="229"/>
      <c r="Q110" s="239" t="s">
        <v>238</v>
      </c>
      <c r="R110" s="239" t="s">
        <v>239</v>
      </c>
      <c r="U110" s="228" t="s">
        <v>223</v>
      </c>
      <c r="V110" s="229"/>
      <c r="W110" s="243"/>
      <c r="X110" s="243"/>
      <c r="Y110" s="239">
        <v>4</v>
      </c>
      <c r="AA110" s="250" t="str">
        <f t="shared" si="5"/>
        <v>Restaurant</v>
      </c>
      <c r="AB110" s="251"/>
      <c r="AC110" s="252"/>
      <c r="AD110" s="253" t="str">
        <f t="shared" si="6"/>
        <v>fixture</v>
      </c>
      <c r="AE110" s="254" t="str">
        <f t="shared" si="7"/>
        <v>1/5 or part</v>
      </c>
      <c r="AG110" s="250" t="str">
        <f t="shared" si="2"/>
        <v xml:space="preserve"> </v>
      </c>
      <c r="AH110" s="251"/>
      <c r="AI110" s="252"/>
      <c r="AJ110" s="251" t="str">
        <f t="shared" si="3"/>
        <v xml:space="preserve"> </v>
      </c>
      <c r="AK110" s="260" t="str">
        <f t="shared" si="4"/>
        <v xml:space="preserve"> </v>
      </c>
    </row>
    <row r="111" spans="2:37" x14ac:dyDescent="0.25">
      <c r="B111" s="61" t="s">
        <v>158</v>
      </c>
      <c r="E111" s="61" t="s">
        <v>158</v>
      </c>
      <c r="F111" s="61" t="s">
        <v>158</v>
      </c>
      <c r="H111" s="228" t="s">
        <v>158</v>
      </c>
      <c r="I111" s="229"/>
      <c r="J111" s="19"/>
      <c r="K111" s="239" t="s">
        <v>158</v>
      </c>
      <c r="L111" s="239" t="s">
        <v>158</v>
      </c>
      <c r="N111" s="228" t="s">
        <v>109</v>
      </c>
      <c r="O111" s="229"/>
      <c r="P111" s="229"/>
      <c r="Q111" s="239" t="s">
        <v>189</v>
      </c>
      <c r="R111" s="239">
        <v>0.33300000000000002</v>
      </c>
      <c r="U111" s="228" t="s">
        <v>216</v>
      </c>
      <c r="V111" s="229"/>
      <c r="W111" s="229"/>
      <c r="X111" s="243"/>
      <c r="Y111" s="239">
        <v>4</v>
      </c>
      <c r="AA111" s="250" t="str">
        <f t="shared" si="5"/>
        <v>Retirement Village</v>
      </c>
      <c r="AB111" s="251"/>
      <c r="AC111" s="252"/>
      <c r="AD111" s="253" t="str">
        <f t="shared" si="6"/>
        <v>single bed</v>
      </c>
      <c r="AE111" s="254">
        <f t="shared" si="7"/>
        <v>0.33300000000000002</v>
      </c>
      <c r="AG111" s="250" t="str">
        <f t="shared" si="2"/>
        <v xml:space="preserve"> </v>
      </c>
      <c r="AH111" s="251"/>
      <c r="AI111" s="252"/>
      <c r="AJ111" s="251" t="str">
        <f t="shared" si="3"/>
        <v xml:space="preserve"> </v>
      </c>
      <c r="AK111" s="260" t="str">
        <f t="shared" si="4"/>
        <v xml:space="preserve"> </v>
      </c>
    </row>
    <row r="112" spans="2:37" x14ac:dyDescent="0.25">
      <c r="B112" s="61" t="s">
        <v>158</v>
      </c>
      <c r="E112" s="61" t="s">
        <v>158</v>
      </c>
      <c r="F112" s="61" t="s">
        <v>158</v>
      </c>
      <c r="H112" s="228" t="s">
        <v>158</v>
      </c>
      <c r="I112" s="229"/>
      <c r="J112" s="19"/>
      <c r="K112" s="239" t="s">
        <v>158</v>
      </c>
      <c r="L112" s="239" t="s">
        <v>158</v>
      </c>
      <c r="N112" s="228" t="s">
        <v>136</v>
      </c>
      <c r="O112" s="229"/>
      <c r="P112" s="229"/>
      <c r="Q112" s="239" t="s">
        <v>238</v>
      </c>
      <c r="R112" s="239" t="s">
        <v>239</v>
      </c>
      <c r="U112" s="228" t="s">
        <v>224</v>
      </c>
      <c r="V112" s="229"/>
      <c r="W112" s="243"/>
      <c r="X112" s="243"/>
      <c r="Y112" s="239">
        <v>6</v>
      </c>
      <c r="AA112" s="250" t="str">
        <f t="shared" si="5"/>
        <v>Sales or Hire Yard</v>
      </c>
      <c r="AB112" s="251"/>
      <c r="AC112" s="252"/>
      <c r="AD112" s="253" t="str">
        <f t="shared" si="6"/>
        <v>fixture</v>
      </c>
      <c r="AE112" s="254" t="str">
        <f t="shared" si="7"/>
        <v>1/5 or part</v>
      </c>
      <c r="AG112" s="250" t="str">
        <f t="shared" si="2"/>
        <v xml:space="preserve"> </v>
      </c>
      <c r="AH112" s="251"/>
      <c r="AI112" s="252"/>
      <c r="AJ112" s="251" t="str">
        <f t="shared" si="3"/>
        <v xml:space="preserve"> </v>
      </c>
      <c r="AK112" s="260" t="str">
        <f t="shared" si="4"/>
        <v xml:space="preserve"> </v>
      </c>
    </row>
    <row r="113" spans="2:37" x14ac:dyDescent="0.25">
      <c r="B113" s="61" t="s">
        <v>158</v>
      </c>
      <c r="E113" s="61" t="s">
        <v>158</v>
      </c>
      <c r="F113" s="61" t="s">
        <v>158</v>
      </c>
      <c r="H113" s="228" t="s">
        <v>158</v>
      </c>
      <c r="I113" s="229"/>
      <c r="J113" s="19"/>
      <c r="K113" s="239" t="s">
        <v>158</v>
      </c>
      <c r="L113" s="239" t="s">
        <v>158</v>
      </c>
      <c r="N113" s="228" t="s">
        <v>137</v>
      </c>
      <c r="O113" s="229"/>
      <c r="P113" s="229"/>
      <c r="Q113" s="239" t="s">
        <v>238</v>
      </c>
      <c r="R113" s="239" t="s">
        <v>239</v>
      </c>
      <c r="U113" s="228" t="s">
        <v>225</v>
      </c>
      <c r="V113" s="229"/>
      <c r="W113" s="243"/>
      <c r="X113" s="243"/>
      <c r="Y113" s="239">
        <v>1</v>
      </c>
      <c r="AA113" s="250" t="str">
        <f t="shared" si="5"/>
        <v>Service Industry</v>
      </c>
      <c r="AB113" s="251"/>
      <c r="AC113" s="252"/>
      <c r="AD113" s="253" t="str">
        <f t="shared" si="6"/>
        <v>fixture</v>
      </c>
      <c r="AE113" s="254" t="str">
        <f t="shared" si="7"/>
        <v>1/5 or part</v>
      </c>
      <c r="AG113" s="250" t="str">
        <f t="shared" si="2"/>
        <v xml:space="preserve"> </v>
      </c>
      <c r="AH113" s="251"/>
      <c r="AI113" s="252"/>
      <c r="AJ113" s="251" t="str">
        <f t="shared" si="3"/>
        <v xml:space="preserve"> </v>
      </c>
      <c r="AK113" s="260" t="str">
        <f t="shared" si="4"/>
        <v xml:space="preserve"> </v>
      </c>
    </row>
    <row r="114" spans="2:37" x14ac:dyDescent="0.25">
      <c r="B114" s="61" t="s">
        <v>158</v>
      </c>
      <c r="E114" s="61" t="s">
        <v>158</v>
      </c>
      <c r="F114" s="61" t="s">
        <v>158</v>
      </c>
      <c r="H114" s="228" t="s">
        <v>158</v>
      </c>
      <c r="I114" s="229"/>
      <c r="J114" s="19"/>
      <c r="K114" s="239" t="s">
        <v>158</v>
      </c>
      <c r="L114" s="239" t="s">
        <v>158</v>
      </c>
      <c r="N114" s="228" t="s">
        <v>122</v>
      </c>
      <c r="O114" s="229"/>
      <c r="P114" s="229"/>
      <c r="Q114" s="239" t="s">
        <v>238</v>
      </c>
      <c r="R114" s="239" t="s">
        <v>239</v>
      </c>
      <c r="U114" s="228" t="s">
        <v>213</v>
      </c>
      <c r="V114" s="229"/>
      <c r="W114" s="229"/>
      <c r="X114" s="243"/>
      <c r="Y114" s="239">
        <v>0</v>
      </c>
      <c r="AA114" s="250" t="str">
        <f t="shared" si="5"/>
        <v>Service Station</v>
      </c>
      <c r="AB114" s="251"/>
      <c r="AC114" s="252"/>
      <c r="AD114" s="253" t="str">
        <f t="shared" si="6"/>
        <v>fixture</v>
      </c>
      <c r="AE114" s="254" t="str">
        <f t="shared" si="7"/>
        <v>1/5 or part</v>
      </c>
      <c r="AG114" s="250" t="str">
        <f t="shared" si="2"/>
        <v xml:space="preserve"> </v>
      </c>
      <c r="AH114" s="251"/>
      <c r="AI114" s="252"/>
      <c r="AJ114" s="251" t="str">
        <f t="shared" si="3"/>
        <v xml:space="preserve"> </v>
      </c>
      <c r="AK114" s="260" t="str">
        <f t="shared" si="4"/>
        <v xml:space="preserve"> </v>
      </c>
    </row>
    <row r="115" spans="2:37" x14ac:dyDescent="0.25">
      <c r="B115" s="61" t="s">
        <v>158</v>
      </c>
      <c r="E115" s="61" t="s">
        <v>158</v>
      </c>
      <c r="F115" s="61" t="s">
        <v>158</v>
      </c>
      <c r="H115" s="228" t="s">
        <v>158</v>
      </c>
      <c r="I115" s="229"/>
      <c r="J115" s="19"/>
      <c r="K115" s="239" t="s">
        <v>158</v>
      </c>
      <c r="L115" s="239" t="s">
        <v>158</v>
      </c>
      <c r="N115" s="228" t="s">
        <v>123</v>
      </c>
      <c r="O115" s="229"/>
      <c r="P115" s="229"/>
      <c r="Q115" s="239" t="s">
        <v>238</v>
      </c>
      <c r="R115" s="239" t="s">
        <v>239</v>
      </c>
      <c r="U115" s="228" t="s">
        <v>226</v>
      </c>
      <c r="V115" s="229"/>
      <c r="W115" s="229"/>
      <c r="X115" s="243"/>
      <c r="Y115" s="239">
        <v>3</v>
      </c>
      <c r="AA115" s="250" t="str">
        <f t="shared" si="5"/>
        <v>Shop</v>
      </c>
      <c r="AB115" s="251"/>
      <c r="AC115" s="252"/>
      <c r="AD115" s="253" t="str">
        <f t="shared" si="6"/>
        <v>fixture</v>
      </c>
      <c r="AE115" s="254" t="str">
        <f t="shared" si="7"/>
        <v>1/5 or part</v>
      </c>
      <c r="AG115" s="250" t="str">
        <f t="shared" si="2"/>
        <v xml:space="preserve"> </v>
      </c>
      <c r="AH115" s="251"/>
      <c r="AI115" s="252"/>
      <c r="AJ115" s="251" t="str">
        <f t="shared" si="3"/>
        <v xml:space="preserve"> </v>
      </c>
      <c r="AK115" s="260" t="str">
        <f t="shared" si="4"/>
        <v xml:space="preserve"> </v>
      </c>
    </row>
    <row r="116" spans="2:37" x14ac:dyDescent="0.25">
      <c r="B116" s="61" t="s">
        <v>158</v>
      </c>
      <c r="E116" s="61" t="s">
        <v>158</v>
      </c>
      <c r="F116" s="61" t="s">
        <v>158</v>
      </c>
      <c r="H116" s="228" t="s">
        <v>158</v>
      </c>
      <c r="I116" s="229"/>
      <c r="J116" s="19"/>
      <c r="K116" s="239" t="s">
        <v>158</v>
      </c>
      <c r="L116" s="239" t="s">
        <v>158</v>
      </c>
      <c r="N116" s="228" t="s">
        <v>124</v>
      </c>
      <c r="O116" s="229"/>
      <c r="P116" s="229"/>
      <c r="Q116" s="239" t="s">
        <v>238</v>
      </c>
      <c r="R116" s="239" t="s">
        <v>239</v>
      </c>
      <c r="U116" s="228" t="s">
        <v>227</v>
      </c>
      <c r="V116" s="229"/>
      <c r="W116" s="229"/>
      <c r="X116" s="243"/>
      <c r="Y116" s="239">
        <v>4</v>
      </c>
      <c r="AA116" s="250" t="str">
        <f t="shared" si="5"/>
        <v>Shopping Complex</v>
      </c>
      <c r="AB116" s="251"/>
      <c r="AC116" s="252"/>
      <c r="AD116" s="253" t="str">
        <f t="shared" si="6"/>
        <v>fixture</v>
      </c>
      <c r="AE116" s="254" t="str">
        <f t="shared" si="7"/>
        <v>1/5 or part</v>
      </c>
      <c r="AG116" s="250" t="str">
        <f t="shared" si="2"/>
        <v xml:space="preserve"> </v>
      </c>
      <c r="AH116" s="251"/>
      <c r="AI116" s="252"/>
      <c r="AJ116" s="251" t="str">
        <f t="shared" si="3"/>
        <v xml:space="preserve"> </v>
      </c>
      <c r="AK116" s="260" t="str">
        <f t="shared" si="4"/>
        <v xml:space="preserve"> </v>
      </c>
    </row>
    <row r="117" spans="2:37" x14ac:dyDescent="0.25">
      <c r="B117" s="61" t="s">
        <v>158</v>
      </c>
      <c r="E117" s="61" t="s">
        <v>158</v>
      </c>
      <c r="F117" s="61" t="s">
        <v>158</v>
      </c>
      <c r="H117" s="228" t="s">
        <v>158</v>
      </c>
      <c r="I117" s="229"/>
      <c r="J117" s="19"/>
      <c r="K117" s="239" t="s">
        <v>158</v>
      </c>
      <c r="L117" s="239" t="s">
        <v>158</v>
      </c>
      <c r="N117" s="228" t="s">
        <v>125</v>
      </c>
      <c r="O117" s="229"/>
      <c r="P117" s="229"/>
      <c r="Q117" s="239" t="s">
        <v>238</v>
      </c>
      <c r="R117" s="239" t="s">
        <v>239</v>
      </c>
      <c r="U117" s="228" t="s">
        <v>228</v>
      </c>
      <c r="V117" s="229"/>
      <c r="W117" s="229"/>
      <c r="X117" s="243"/>
      <c r="Y117" s="239">
        <v>6</v>
      </c>
      <c r="AA117" s="250" t="str">
        <f t="shared" si="5"/>
        <v xml:space="preserve">Showroom </v>
      </c>
      <c r="AB117" s="251"/>
      <c r="AC117" s="252"/>
      <c r="AD117" s="253" t="str">
        <f t="shared" si="6"/>
        <v>fixture</v>
      </c>
      <c r="AE117" s="254" t="str">
        <f t="shared" si="7"/>
        <v>1/5 or part</v>
      </c>
      <c r="AG117" s="250" t="str">
        <f t="shared" si="2"/>
        <v xml:space="preserve"> </v>
      </c>
      <c r="AH117" s="251"/>
      <c r="AI117" s="252"/>
      <c r="AJ117" s="251" t="str">
        <f t="shared" si="3"/>
        <v xml:space="preserve"> </v>
      </c>
      <c r="AK117" s="260" t="str">
        <f t="shared" si="4"/>
        <v xml:space="preserve"> </v>
      </c>
    </row>
    <row r="118" spans="2:37" x14ac:dyDescent="0.25">
      <c r="B118" s="61" t="s">
        <v>158</v>
      </c>
      <c r="E118" s="61" t="s">
        <v>158</v>
      </c>
      <c r="F118" s="61" t="s">
        <v>158</v>
      </c>
      <c r="H118" s="228" t="s">
        <v>158</v>
      </c>
      <c r="I118" s="229"/>
      <c r="J118" s="19"/>
      <c r="K118" s="239" t="s">
        <v>158</v>
      </c>
      <c r="L118" s="239" t="s">
        <v>158</v>
      </c>
      <c r="N118" s="228" t="s">
        <v>147</v>
      </c>
      <c r="O118" s="229"/>
      <c r="P118" s="229"/>
      <c r="Q118" s="239" t="s">
        <v>193</v>
      </c>
      <c r="R118" s="239">
        <v>0.5</v>
      </c>
      <c r="U118" s="190"/>
      <c r="V118" s="230"/>
      <c r="W118" s="230"/>
      <c r="X118" s="244"/>
      <c r="Y118" s="240"/>
      <c r="AA118" s="250" t="str">
        <f t="shared" si="5"/>
        <v>Stables</v>
      </c>
      <c r="AB118" s="251"/>
      <c r="AC118" s="252"/>
      <c r="AD118" s="253" t="str">
        <f t="shared" si="6"/>
        <v>stal/place</v>
      </c>
      <c r="AE118" s="254">
        <f t="shared" si="7"/>
        <v>0.5</v>
      </c>
      <c r="AG118" s="250" t="str">
        <f t="shared" si="2"/>
        <v xml:space="preserve"> </v>
      </c>
      <c r="AH118" s="251"/>
      <c r="AI118" s="252"/>
      <c r="AJ118" s="251" t="str">
        <f t="shared" si="3"/>
        <v xml:space="preserve"> </v>
      </c>
      <c r="AK118" s="260" t="str">
        <f t="shared" si="4"/>
        <v xml:space="preserve"> </v>
      </c>
    </row>
    <row r="119" spans="2:37" x14ac:dyDescent="0.25">
      <c r="B119" s="61" t="s">
        <v>158</v>
      </c>
      <c r="E119" s="61" t="s">
        <v>158</v>
      </c>
      <c r="F119" s="61" t="s">
        <v>158</v>
      </c>
      <c r="H119" s="228" t="s">
        <v>158</v>
      </c>
      <c r="I119" s="229"/>
      <c r="J119" s="19"/>
      <c r="K119" s="239" t="s">
        <v>158</v>
      </c>
      <c r="L119" s="239" t="s">
        <v>158</v>
      </c>
      <c r="N119" s="228" t="s">
        <v>138</v>
      </c>
      <c r="O119" s="229"/>
      <c r="P119" s="229"/>
      <c r="Q119" s="239" t="s">
        <v>238</v>
      </c>
      <c r="R119" s="239" t="s">
        <v>239</v>
      </c>
      <c r="W119" s="88"/>
      <c r="AA119" s="250" t="str">
        <f t="shared" si="5"/>
        <v>Storage or Contractors Yard</v>
      </c>
      <c r="AB119" s="251"/>
      <c r="AC119" s="252"/>
      <c r="AD119" s="253" t="str">
        <f t="shared" si="6"/>
        <v>fixture</v>
      </c>
      <c r="AE119" s="254" t="str">
        <f t="shared" si="7"/>
        <v>1/5 or part</v>
      </c>
      <c r="AG119" s="250" t="str">
        <f t="shared" si="2"/>
        <v xml:space="preserve"> </v>
      </c>
      <c r="AH119" s="251"/>
      <c r="AI119" s="252"/>
      <c r="AJ119" s="251" t="str">
        <f t="shared" si="3"/>
        <v xml:space="preserve"> </v>
      </c>
      <c r="AK119" s="260" t="str">
        <f t="shared" si="4"/>
        <v xml:space="preserve"> </v>
      </c>
    </row>
    <row r="120" spans="2:37" x14ac:dyDescent="0.25">
      <c r="B120" s="61" t="s">
        <v>158</v>
      </c>
      <c r="E120" s="61" t="s">
        <v>158</v>
      </c>
      <c r="F120" s="61" t="s">
        <v>158</v>
      </c>
      <c r="H120" s="228" t="s">
        <v>158</v>
      </c>
      <c r="I120" s="229"/>
      <c r="J120" s="19"/>
      <c r="K120" s="239" t="s">
        <v>158</v>
      </c>
      <c r="L120" s="239" t="s">
        <v>158</v>
      </c>
      <c r="N120" s="228" t="s">
        <v>190</v>
      </c>
      <c r="O120" s="229"/>
      <c r="P120" s="229"/>
      <c r="Q120" s="239" t="s">
        <v>130</v>
      </c>
      <c r="R120" s="239">
        <v>2</v>
      </c>
      <c r="W120" s="88"/>
      <c r="AA120" s="250" t="str">
        <f>IF($T$6=1,B120,N120)</f>
        <v>Subordinate dwelling unit</v>
      </c>
      <c r="AB120" s="251"/>
      <c r="AC120" s="252"/>
      <c r="AD120" s="253" t="str">
        <f t="shared" si="6"/>
        <v>dwelling unit</v>
      </c>
      <c r="AE120" s="254">
        <f t="shared" si="7"/>
        <v>2</v>
      </c>
      <c r="AG120" s="250" t="str">
        <f t="shared" si="2"/>
        <v xml:space="preserve"> </v>
      </c>
      <c r="AH120" s="251"/>
      <c r="AI120" s="252"/>
      <c r="AJ120" s="251" t="str">
        <f t="shared" si="3"/>
        <v xml:space="preserve"> </v>
      </c>
      <c r="AK120" s="260" t="str">
        <f t="shared" si="4"/>
        <v xml:space="preserve"> </v>
      </c>
    </row>
    <row r="121" spans="2:37" x14ac:dyDescent="0.25">
      <c r="B121" s="61" t="s">
        <v>158</v>
      </c>
      <c r="E121" s="61" t="s">
        <v>158</v>
      </c>
      <c r="F121" s="61" t="s">
        <v>158</v>
      </c>
      <c r="H121" s="228" t="s">
        <v>158</v>
      </c>
      <c r="I121" s="229"/>
      <c r="J121" s="19"/>
      <c r="K121" s="239" t="s">
        <v>158</v>
      </c>
      <c r="L121" s="239" t="s">
        <v>158</v>
      </c>
      <c r="N121" s="228" t="s">
        <v>139</v>
      </c>
      <c r="O121" s="229"/>
      <c r="P121" s="229"/>
      <c r="Q121" s="239" t="s">
        <v>238</v>
      </c>
      <c r="R121" s="239" t="s">
        <v>239</v>
      </c>
      <c r="W121" s="88"/>
      <c r="AA121" s="250" t="str">
        <f>IF($T$6=1,B121,N121)</f>
        <v>Transport Depot</v>
      </c>
      <c r="AB121" s="251"/>
      <c r="AC121" s="252"/>
      <c r="AD121" s="253" t="str">
        <f t="shared" si="6"/>
        <v>fixture</v>
      </c>
      <c r="AE121" s="254" t="str">
        <f t="shared" si="7"/>
        <v>1/5 or part</v>
      </c>
      <c r="AG121" s="250" t="str">
        <f t="shared" si="2"/>
        <v xml:space="preserve"> </v>
      </c>
      <c r="AH121" s="251"/>
      <c r="AI121" s="252"/>
      <c r="AJ121" s="251" t="str">
        <f t="shared" si="3"/>
        <v xml:space="preserve"> </v>
      </c>
      <c r="AK121" s="260" t="str">
        <f t="shared" si="4"/>
        <v xml:space="preserve"> </v>
      </c>
    </row>
    <row r="122" spans="2:37" x14ac:dyDescent="0.25">
      <c r="B122" s="61" t="s">
        <v>158</v>
      </c>
      <c r="E122" s="61" t="s">
        <v>158</v>
      </c>
      <c r="F122" s="61" t="s">
        <v>158</v>
      </c>
      <c r="H122" s="228" t="s">
        <v>158</v>
      </c>
      <c r="I122" s="229"/>
      <c r="J122" s="19"/>
      <c r="K122" s="239" t="s">
        <v>158</v>
      </c>
      <c r="L122" s="239" t="s">
        <v>158</v>
      </c>
      <c r="N122" s="228" t="s">
        <v>140</v>
      </c>
      <c r="O122" s="229"/>
      <c r="P122" s="229"/>
      <c r="Q122" s="239" t="s">
        <v>238</v>
      </c>
      <c r="R122" s="239" t="s">
        <v>239</v>
      </c>
      <c r="W122" s="88"/>
      <c r="AA122" s="250" t="str">
        <f>IF($T$6=1,B122,N122)</f>
        <v>Vehicle Repair Premises</v>
      </c>
      <c r="AB122" s="251"/>
      <c r="AC122" s="252"/>
      <c r="AD122" s="253" t="str">
        <f t="shared" si="6"/>
        <v>fixture</v>
      </c>
      <c r="AE122" s="254" t="str">
        <f t="shared" si="7"/>
        <v>1/5 or part</v>
      </c>
      <c r="AG122" s="250" t="str">
        <f t="shared" si="2"/>
        <v xml:space="preserve"> </v>
      </c>
      <c r="AH122" s="251"/>
      <c r="AI122" s="252"/>
      <c r="AJ122" s="251" t="str">
        <f t="shared" si="3"/>
        <v xml:space="preserve"> </v>
      </c>
      <c r="AK122" s="260" t="str">
        <f t="shared" si="4"/>
        <v xml:space="preserve"> </v>
      </c>
    </row>
    <row r="123" spans="2:37" x14ac:dyDescent="0.25">
      <c r="B123" s="61" t="s">
        <v>158</v>
      </c>
      <c r="E123" s="61" t="s">
        <v>158</v>
      </c>
      <c r="F123" s="61" t="s">
        <v>158</v>
      </c>
      <c r="H123" s="190" t="s">
        <v>158</v>
      </c>
      <c r="I123" s="230"/>
      <c r="J123" s="20"/>
      <c r="K123" s="240" t="s">
        <v>158</v>
      </c>
      <c r="L123" s="240" t="s">
        <v>158</v>
      </c>
      <c r="N123" s="190" t="s">
        <v>141</v>
      </c>
      <c r="O123" s="230"/>
      <c r="P123" s="230"/>
      <c r="Q123" s="240" t="s">
        <v>238</v>
      </c>
      <c r="R123" s="240" t="s">
        <v>239</v>
      </c>
      <c r="W123" s="88"/>
      <c r="AA123" s="255" t="str">
        <f>IF($T$6=1,B123,N123)</f>
        <v>Warehouse</v>
      </c>
      <c r="AB123" s="256"/>
      <c r="AC123" s="257"/>
      <c r="AD123" s="258" t="str">
        <f t="shared" si="6"/>
        <v>fixture</v>
      </c>
      <c r="AE123" s="259" t="str">
        <f t="shared" si="7"/>
        <v>1/5 or part</v>
      </c>
      <c r="AG123" s="255" t="str">
        <f t="shared" si="2"/>
        <v xml:space="preserve"> </v>
      </c>
      <c r="AH123" s="256"/>
      <c r="AI123" s="257"/>
      <c r="AJ123" s="256" t="str">
        <f t="shared" si="3"/>
        <v xml:space="preserve"> </v>
      </c>
      <c r="AK123" s="261" t="str">
        <f t="shared" si="4"/>
        <v xml:space="preserve"> </v>
      </c>
    </row>
    <row r="124" spans="2:37" x14ac:dyDescent="0.25">
      <c r="W124" s="88"/>
    </row>
    <row r="125" spans="2:37" x14ac:dyDescent="0.25">
      <c r="W125" s="88"/>
    </row>
    <row r="126" spans="2:37" x14ac:dyDescent="0.25">
      <c r="W126" s="88"/>
    </row>
    <row r="127" spans="2:37" x14ac:dyDescent="0.25">
      <c r="W127" s="88"/>
    </row>
    <row r="128" spans="2:37" x14ac:dyDescent="0.25">
      <c r="W128" s="88"/>
    </row>
    <row r="129" spans="9:23" x14ac:dyDescent="0.25">
      <c r="W129" s="88"/>
    </row>
    <row r="130" spans="9:23" x14ac:dyDescent="0.25">
      <c r="W130" s="88"/>
    </row>
    <row r="131" spans="9:23" x14ac:dyDescent="0.25">
      <c r="W131" s="88"/>
    </row>
    <row r="141" spans="9:23" x14ac:dyDescent="0.25">
      <c r="I141" s="61" t="s">
        <v>158</v>
      </c>
      <c r="J141" s="61" t="s">
        <v>158</v>
      </c>
    </row>
  </sheetData>
  <sheetProtection algorithmName="SHA-512" hashValue="9fbuEDzHSxfzzJ+1gXWETwxy/1/+BRDqcfjHQrfTj9vYm52QNLEdbvosOE+aUNsH0+/Pt/050SMN+xRXUnJdHQ==" saltValue="0PPSHLC/fbUtEGuejfC0Eg==" spinCount="100000" sheet="1" objects="1" scenarios="1"/>
  <customSheetViews>
    <customSheetView guid="{27B7C317-A4C8-4AFE-A1B4-96A5038E57EE}" scale="75" showGridLines="0" fitToPage="1" hiddenColumns="1" showRuler="0">
      <selection activeCell="H10" sqref="H10"/>
      <pageMargins left="0.75" right="0.75" top="1" bottom="1" header="0.5" footer="0.5"/>
      <pageSetup paperSize="9" scale="78" orientation="landscape" horizontalDpi="4294967293" r:id="rId1"/>
      <headerFooter alignWithMargins="0"/>
    </customSheetView>
  </customSheetViews>
  <mergeCells count="57">
    <mergeCell ref="AG80:AK80"/>
    <mergeCell ref="H69:L69"/>
    <mergeCell ref="AA80:AE80"/>
    <mergeCell ref="U80:Y80"/>
    <mergeCell ref="L32:M32"/>
    <mergeCell ref="L34:M34"/>
    <mergeCell ref="L33:M33"/>
    <mergeCell ref="AA81:AC81"/>
    <mergeCell ref="N81:P81"/>
    <mergeCell ref="N80:R80"/>
    <mergeCell ref="L35:M35"/>
    <mergeCell ref="L23:M23"/>
    <mergeCell ref="L26:M26"/>
    <mergeCell ref="L24:M24"/>
    <mergeCell ref="L27:M27"/>
    <mergeCell ref="L28:M28"/>
    <mergeCell ref="L25:M25"/>
    <mergeCell ref="L31:M31"/>
    <mergeCell ref="B21:E21"/>
    <mergeCell ref="F24:G24"/>
    <mergeCell ref="F25:G25"/>
    <mergeCell ref="B81:D81"/>
    <mergeCell ref="H80:L80"/>
    <mergeCell ref="H81:J81"/>
    <mergeCell ref="B64:E64"/>
    <mergeCell ref="B80:F80"/>
    <mergeCell ref="L30:M30"/>
    <mergeCell ref="F23:G23"/>
    <mergeCell ref="E29:G29"/>
    <mergeCell ref="D29:D30"/>
    <mergeCell ref="D38:E38"/>
    <mergeCell ref="B29:C30"/>
    <mergeCell ref="B69:F69"/>
    <mergeCell ref="B70:D71"/>
    <mergeCell ref="H29:H30"/>
    <mergeCell ref="I29:J29"/>
    <mergeCell ref="L29:M29"/>
    <mergeCell ref="F22:G22"/>
    <mergeCell ref="L19:M19"/>
    <mergeCell ref="L20:M20"/>
    <mergeCell ref="L21:M21"/>
    <mergeCell ref="L22:M22"/>
    <mergeCell ref="L16:M16"/>
    <mergeCell ref="L17:M17"/>
    <mergeCell ref="L18:M18"/>
    <mergeCell ref="B9:E9"/>
    <mergeCell ref="L9:P9"/>
    <mergeCell ref="L15:M15"/>
    <mergeCell ref="L10:M10"/>
    <mergeCell ref="F11:G11"/>
    <mergeCell ref="F10:G10"/>
    <mergeCell ref="F13:G13"/>
    <mergeCell ref="F12:G12"/>
    <mergeCell ref="L13:M13"/>
    <mergeCell ref="F14:G14"/>
    <mergeCell ref="F15:G15"/>
    <mergeCell ref="L14:M14"/>
  </mergeCells>
  <phoneticPr fontId="4" type="noConversion"/>
  <dataValidations count="1">
    <dataValidation type="list" allowBlank="1" showInputMessage="1" showErrorMessage="1" sqref="L13:L35" xr:uid="{00000000-0002-0000-0300-000000000000}">
      <formula1>$U$82:$U$117</formula1>
    </dataValidation>
  </dataValidations>
  <pageMargins left="0.75" right="0.75" top="1" bottom="1" header="0.5" footer="0.5"/>
  <pageSetup paperSize="9" scale="86" orientation="landscape" blackAndWhite="1" horizontalDpi="4294967293" r:id="rId2"/>
  <headerFooter alignWithMargins="0"/>
  <ignoredErrors>
    <ignoredError sqref="A6 A8 A28 A35 A18" numberStoredAsText="1"/>
    <ignoredError sqref="V10:V14 U11:U14"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7169" r:id="rId5" name="Drop Down 1">
              <controlPr defaultSize="0" autoLine="0" autoPict="0">
                <anchor moveWithCells="1">
                  <from>
                    <xdr:col>1</xdr:col>
                    <xdr:colOff>7620</xdr:colOff>
                    <xdr:row>9</xdr:row>
                    <xdr:rowOff>0</xdr:rowOff>
                  </from>
                  <to>
                    <xdr:col>5</xdr:col>
                    <xdr:colOff>7620</xdr:colOff>
                    <xdr:row>10</xdr:row>
                    <xdr:rowOff>7620</xdr:rowOff>
                  </to>
                </anchor>
              </controlPr>
            </control>
          </mc:Choice>
        </mc:AlternateContent>
        <mc:AlternateContent xmlns:mc="http://schemas.openxmlformats.org/markup-compatibility/2006">
          <mc:Choice Requires="x14">
            <control shapeId="7170" r:id="rId6" name="Drop Down 2">
              <controlPr defaultSize="0" autoLine="0" autoPict="0">
                <anchor moveWithCells="1">
                  <from>
                    <xdr:col>1</xdr:col>
                    <xdr:colOff>7620</xdr:colOff>
                    <xdr:row>12</xdr:row>
                    <xdr:rowOff>0</xdr:rowOff>
                  </from>
                  <to>
                    <xdr:col>5</xdr:col>
                    <xdr:colOff>7620</xdr:colOff>
                    <xdr:row>13</xdr:row>
                    <xdr:rowOff>7620</xdr:rowOff>
                  </to>
                </anchor>
              </controlPr>
            </control>
          </mc:Choice>
        </mc:AlternateContent>
        <mc:AlternateContent xmlns:mc="http://schemas.openxmlformats.org/markup-compatibility/2006">
          <mc:Choice Requires="x14">
            <control shapeId="7171" r:id="rId7" name="Drop Down 3">
              <controlPr defaultSize="0" autoLine="0" autoPict="0">
                <anchor moveWithCells="1">
                  <from>
                    <xdr:col>1</xdr:col>
                    <xdr:colOff>7620</xdr:colOff>
                    <xdr:row>13</xdr:row>
                    <xdr:rowOff>0</xdr:rowOff>
                  </from>
                  <to>
                    <xdr:col>5</xdr:col>
                    <xdr:colOff>7620</xdr:colOff>
                    <xdr:row>14</xdr:row>
                    <xdr:rowOff>7620</xdr:rowOff>
                  </to>
                </anchor>
              </controlPr>
            </control>
          </mc:Choice>
        </mc:AlternateContent>
        <mc:AlternateContent xmlns:mc="http://schemas.openxmlformats.org/markup-compatibility/2006">
          <mc:Choice Requires="x14">
            <control shapeId="7172" r:id="rId8" name="Drop Down 4">
              <controlPr defaultSize="0" autoLine="0" autoPict="0">
                <anchor moveWithCells="1">
                  <from>
                    <xdr:col>1</xdr:col>
                    <xdr:colOff>7620</xdr:colOff>
                    <xdr:row>21</xdr:row>
                    <xdr:rowOff>7620</xdr:rowOff>
                  </from>
                  <to>
                    <xdr:col>5</xdr:col>
                    <xdr:colOff>7620</xdr:colOff>
                    <xdr:row>22</xdr:row>
                    <xdr:rowOff>22860</xdr:rowOff>
                  </to>
                </anchor>
              </controlPr>
            </control>
          </mc:Choice>
        </mc:AlternateContent>
        <mc:AlternateContent xmlns:mc="http://schemas.openxmlformats.org/markup-compatibility/2006">
          <mc:Choice Requires="x14">
            <control shapeId="7173" r:id="rId9" name="Drop Down 5">
              <controlPr defaultSize="0" autoLine="0" autoPict="0">
                <anchor moveWithCells="1">
                  <from>
                    <xdr:col>1</xdr:col>
                    <xdr:colOff>7620</xdr:colOff>
                    <xdr:row>22</xdr:row>
                    <xdr:rowOff>7620</xdr:rowOff>
                  </from>
                  <to>
                    <xdr:col>5</xdr:col>
                    <xdr:colOff>7620</xdr:colOff>
                    <xdr:row>23</xdr:row>
                    <xdr:rowOff>22860</xdr:rowOff>
                  </to>
                </anchor>
              </controlPr>
            </control>
          </mc:Choice>
        </mc:AlternateContent>
        <mc:AlternateContent xmlns:mc="http://schemas.openxmlformats.org/markup-compatibility/2006">
          <mc:Choice Requires="x14">
            <control shapeId="7174" r:id="rId10" name="Drop Down 6">
              <controlPr defaultSize="0" autoLine="0" autoPict="0">
                <anchor moveWithCells="1">
                  <from>
                    <xdr:col>1</xdr:col>
                    <xdr:colOff>7620</xdr:colOff>
                    <xdr:row>30</xdr:row>
                    <xdr:rowOff>7620</xdr:rowOff>
                  </from>
                  <to>
                    <xdr:col>3</xdr:col>
                    <xdr:colOff>7620</xdr:colOff>
                    <xdr:row>32</xdr:row>
                    <xdr:rowOff>22860</xdr:rowOff>
                  </to>
                </anchor>
              </controlPr>
            </control>
          </mc:Choice>
        </mc:AlternateContent>
        <mc:AlternateContent xmlns:mc="http://schemas.openxmlformats.org/markup-compatibility/2006">
          <mc:Choice Requires="x14">
            <control shapeId="7175" r:id="rId11" name="Drop Down 7">
              <controlPr defaultSize="0" autoLine="0" autoPict="0">
                <anchor moveWithCells="1">
                  <from>
                    <xdr:col>2</xdr:col>
                    <xdr:colOff>731520</xdr:colOff>
                    <xdr:row>4</xdr:row>
                    <xdr:rowOff>152400</xdr:rowOff>
                  </from>
                  <to>
                    <xdr:col>8</xdr:col>
                    <xdr:colOff>76200</xdr:colOff>
                    <xdr:row>6</xdr:row>
                    <xdr:rowOff>45720</xdr:rowOff>
                  </to>
                </anchor>
              </controlPr>
            </control>
          </mc:Choice>
        </mc:AlternateContent>
        <mc:AlternateContent xmlns:mc="http://schemas.openxmlformats.org/markup-compatibility/2006">
          <mc:Choice Requires="x14">
            <control shapeId="7176" r:id="rId12" name="Drop Down 8">
              <controlPr defaultSize="0" autoLine="0" autoPict="0">
                <anchor moveWithCells="1">
                  <from>
                    <xdr:col>0</xdr:col>
                    <xdr:colOff>365760</xdr:colOff>
                    <xdr:row>23</xdr:row>
                    <xdr:rowOff>7620</xdr:rowOff>
                  </from>
                  <to>
                    <xdr:col>5</xdr:col>
                    <xdr:colOff>0</xdr:colOff>
                    <xdr:row>24</xdr:row>
                    <xdr:rowOff>22860</xdr:rowOff>
                  </to>
                </anchor>
              </controlPr>
            </control>
          </mc:Choice>
        </mc:AlternateContent>
        <mc:AlternateContent xmlns:mc="http://schemas.openxmlformats.org/markup-compatibility/2006">
          <mc:Choice Requires="x14">
            <control shapeId="7189" r:id="rId13" name="Drop Down 21">
              <controlPr defaultSize="0" autoLine="0" autoPict="0">
                <anchor moveWithCells="1">
                  <from>
                    <xdr:col>5</xdr:col>
                    <xdr:colOff>259080</xdr:colOff>
                    <xdr:row>18</xdr:row>
                    <xdr:rowOff>22860</xdr:rowOff>
                  </from>
                  <to>
                    <xdr:col>10</xdr:col>
                    <xdr:colOff>45720</xdr:colOff>
                    <xdr:row>19</xdr:row>
                    <xdr:rowOff>38100</xdr:rowOff>
                  </to>
                </anchor>
              </controlPr>
            </control>
          </mc:Choice>
        </mc:AlternateContent>
        <mc:AlternateContent xmlns:mc="http://schemas.openxmlformats.org/markup-compatibility/2006">
          <mc:Choice Requires="x14">
            <control shapeId="7208" r:id="rId14" name="Drop Down 40">
              <controlPr defaultSize="0" autoLine="0" autoPict="0">
                <anchor moveWithCells="1">
                  <from>
                    <xdr:col>1</xdr:col>
                    <xdr:colOff>7620</xdr:colOff>
                    <xdr:row>10</xdr:row>
                    <xdr:rowOff>7620</xdr:rowOff>
                  </from>
                  <to>
                    <xdr:col>5</xdr:col>
                    <xdr:colOff>7620</xdr:colOff>
                    <xdr:row>11</xdr:row>
                    <xdr:rowOff>22860</xdr:rowOff>
                  </to>
                </anchor>
              </controlPr>
            </control>
          </mc:Choice>
        </mc:AlternateContent>
        <mc:AlternateContent xmlns:mc="http://schemas.openxmlformats.org/markup-compatibility/2006">
          <mc:Choice Requires="x14">
            <control shapeId="7209" r:id="rId15" name="Drop Down 41">
              <controlPr defaultSize="0" autoLine="0" autoPict="0">
                <anchor moveWithCells="1">
                  <from>
                    <xdr:col>1</xdr:col>
                    <xdr:colOff>7620</xdr:colOff>
                    <xdr:row>11</xdr:row>
                    <xdr:rowOff>0</xdr:rowOff>
                  </from>
                  <to>
                    <xdr:col>5</xdr:col>
                    <xdr:colOff>7620</xdr:colOff>
                    <xdr:row>12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20"/>
  <sheetViews>
    <sheetView showGridLines="0" zoomScale="75" workbookViewId="0">
      <selection activeCell="E6" sqref="E6"/>
    </sheetView>
  </sheetViews>
  <sheetFormatPr defaultColWidth="9.109375" defaultRowHeight="13.2" x14ac:dyDescent="0.25"/>
  <cols>
    <col min="1" max="1" width="4.88671875" style="61" customWidth="1"/>
    <col min="2" max="2" width="9.109375" style="61"/>
    <col min="3" max="3" width="12.5546875" style="61" customWidth="1"/>
    <col min="4" max="25" width="9.109375" style="61"/>
    <col min="26" max="26" width="0" style="61" hidden="1" customWidth="1"/>
    <col min="27" max="16384" width="9.109375" style="61"/>
  </cols>
  <sheetData>
    <row r="1" spans="1:26" ht="15.6" x14ac:dyDescent="0.3">
      <c r="A1" s="87" t="s">
        <v>262</v>
      </c>
      <c r="K1" s="149" t="s">
        <v>314</v>
      </c>
    </row>
    <row r="2" spans="1:26" ht="15.6" x14ac:dyDescent="0.3">
      <c r="A2" s="141"/>
      <c r="K2" s="149"/>
    </row>
    <row r="3" spans="1:26" ht="15.6" x14ac:dyDescent="0.3">
      <c r="A3" s="141"/>
      <c r="K3" s="149"/>
    </row>
    <row r="4" spans="1:26" ht="15.6" x14ac:dyDescent="0.3">
      <c r="A4" s="141"/>
      <c r="K4" s="149"/>
    </row>
    <row r="5" spans="1:26" ht="15.6" x14ac:dyDescent="0.3">
      <c r="A5" s="141"/>
      <c r="K5" s="82"/>
    </row>
    <row r="6" spans="1:26" x14ac:dyDescent="0.25">
      <c r="A6" s="89" t="s">
        <v>171</v>
      </c>
      <c r="B6" s="90" t="s">
        <v>280</v>
      </c>
      <c r="E6" s="50"/>
      <c r="F6" s="61" t="s">
        <v>260</v>
      </c>
    </row>
    <row r="7" spans="1:26" ht="17.25" customHeight="1" x14ac:dyDescent="0.25">
      <c r="A7" s="89"/>
      <c r="B7" s="90"/>
      <c r="E7" s="91"/>
    </row>
    <row r="8" spans="1:26" ht="17.25" customHeight="1" x14ac:dyDescent="0.25">
      <c r="A8" s="89" t="s">
        <v>162</v>
      </c>
      <c r="B8" s="90" t="s">
        <v>255</v>
      </c>
      <c r="E8" s="91"/>
      <c r="Z8" s="91" t="b">
        <v>1</v>
      </c>
    </row>
    <row r="9" spans="1:26" ht="17.25" customHeight="1" x14ac:dyDescent="0.25"/>
    <row r="11" spans="1:26" x14ac:dyDescent="0.25">
      <c r="A11" s="89"/>
      <c r="B11" s="547" t="s">
        <v>148</v>
      </c>
      <c r="C11" s="610"/>
      <c r="D11" s="610"/>
      <c r="E11" s="548"/>
      <c r="F11" s="540" t="s">
        <v>166</v>
      </c>
      <c r="G11" s="541"/>
      <c r="H11" s="542"/>
      <c r="I11" s="594" t="s">
        <v>276</v>
      </c>
      <c r="J11" s="540" t="s">
        <v>277</v>
      </c>
      <c r="K11" s="542"/>
    </row>
    <row r="12" spans="1:26" x14ac:dyDescent="0.25">
      <c r="B12" s="605"/>
      <c r="C12" s="611"/>
      <c r="D12" s="611"/>
      <c r="E12" s="606"/>
      <c r="F12" s="51" t="s">
        <v>261</v>
      </c>
      <c r="G12" s="51" t="s">
        <v>149</v>
      </c>
      <c r="H12" s="51" t="str">
        <f>IF($Z$8=TRUE,"RBCI","No Index")</f>
        <v>RBCI</v>
      </c>
      <c r="I12" s="595"/>
      <c r="J12" s="7" t="s">
        <v>179</v>
      </c>
      <c r="K12" s="7" t="s">
        <v>149</v>
      </c>
    </row>
    <row r="13" spans="1:26" x14ac:dyDescent="0.25">
      <c r="B13" s="12" t="s">
        <v>263</v>
      </c>
      <c r="C13" s="13"/>
      <c r="D13" s="13"/>
      <c r="E13" s="14"/>
      <c r="F13" s="9">
        <v>2284</v>
      </c>
      <c r="G13" s="54" t="s">
        <v>302</v>
      </c>
      <c r="H13" s="3">
        <f>IF($Z$8=TRUE,91.8,"")</f>
        <v>91.8</v>
      </c>
      <c r="I13" s="11">
        <f>IF($Z$8=TRUE,'June 2009 Summary'!$D$16/'Open Space'!$H$13,1)</f>
        <v>1.0370370370370372</v>
      </c>
      <c r="J13" s="9">
        <f>+F13*I13</f>
        <v>2368.5925925925931</v>
      </c>
      <c r="K13" s="10" t="str">
        <f>+'June 2009 Summary'!D14</f>
        <v>Jun '09</v>
      </c>
    </row>
    <row r="14" spans="1:26" x14ac:dyDescent="0.25">
      <c r="F14" s="71" t="str">
        <f>IF($Z$8=TRUE,"Note - RBCI applied given condition of approval","Note - Base Rate set per policy, as yet no indexation applies automatically")</f>
        <v>Note - RBCI applied given condition of approval</v>
      </c>
    </row>
    <row r="16" spans="1:26" x14ac:dyDescent="0.25">
      <c r="A16" s="89" t="s">
        <v>163</v>
      </c>
      <c r="B16" s="90" t="s">
        <v>167</v>
      </c>
    </row>
    <row r="17" spans="1:5" x14ac:dyDescent="0.25">
      <c r="B17" s="142" t="s">
        <v>258</v>
      </c>
      <c r="C17" s="143">
        <f>+E6*J13</f>
        <v>0</v>
      </c>
      <c r="D17" s="144" t="str">
        <f>+K13</f>
        <v>Jun '09</v>
      </c>
    </row>
    <row r="19" spans="1:5" x14ac:dyDescent="0.25">
      <c r="A19" s="89"/>
    </row>
    <row r="20" spans="1:5" x14ac:dyDescent="0.25">
      <c r="E20" s="99"/>
    </row>
  </sheetData>
  <sheetProtection password="CDF4" sheet="1" objects="1" scenarios="1"/>
  <customSheetViews>
    <customSheetView guid="{27B7C317-A4C8-4AFE-A1B4-96A5038E57EE}" scale="75" showGridLines="0" fitToPage="1" showRuler="0">
      <selection activeCell="E6" sqref="E6"/>
      <pageMargins left="0.74803149606299213" right="0.74803149606299213" top="0.98425196850393704" bottom="0.98425196850393704" header="0.51181102362204722" footer="0.51181102362204722"/>
      <pageSetup paperSize="9" scale="80" orientation="portrait" r:id="rId1"/>
      <headerFooter alignWithMargins="0"/>
    </customSheetView>
  </customSheetViews>
  <mergeCells count="4">
    <mergeCell ref="B11:E12"/>
    <mergeCell ref="I11:I12"/>
    <mergeCell ref="J11:K11"/>
    <mergeCell ref="F11:H11"/>
  </mergeCells>
  <phoneticPr fontId="4" type="noConversion"/>
  <pageMargins left="0.74803149606299213" right="0.74803149606299213" top="0.98425196850393704" bottom="0.98425196850393704" header="0.51181102362204722" footer="0.51181102362204722"/>
  <pageSetup paperSize="9" orientation="landscape"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46" r:id="rId5" name="Check Box 6">
              <controlPr defaultSize="0" autoFill="0" autoLine="0" autoPict="0">
                <anchor moveWithCells="1" sizeWithCells="1">
                  <from>
                    <xdr:col>0</xdr:col>
                    <xdr:colOff>228600</xdr:colOff>
                    <xdr:row>8</xdr:row>
                    <xdr:rowOff>45720</xdr:rowOff>
                  </from>
                  <to>
                    <xdr:col>7</xdr:col>
                    <xdr:colOff>274320</xdr:colOff>
                    <xdr:row>9</xdr:row>
                    <xdr:rowOff>106680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69"/>
  <sheetViews>
    <sheetView showGridLines="0" zoomScale="75" workbookViewId="0">
      <selection activeCell="F7" sqref="F7"/>
    </sheetView>
  </sheetViews>
  <sheetFormatPr defaultColWidth="9.109375" defaultRowHeight="13.2" x14ac:dyDescent="0.25"/>
  <cols>
    <col min="1" max="1" width="4.6640625" style="61" customWidth="1"/>
    <col min="2" max="4" width="9.109375" style="61"/>
    <col min="5" max="5" width="10.33203125" style="61" bestFit="1" customWidth="1"/>
    <col min="6" max="18" width="9.109375" style="61"/>
    <col min="19" max="19" width="0" style="61" hidden="1" customWidth="1"/>
    <col min="20" max="25" width="9.109375" style="61"/>
    <col min="26" max="26" width="0" style="61" hidden="1" customWidth="1"/>
    <col min="27" max="16384" width="9.109375" style="61"/>
  </cols>
  <sheetData>
    <row r="1" spans="1:26" ht="15.6" x14ac:dyDescent="0.3">
      <c r="A1" s="87" t="s">
        <v>254</v>
      </c>
      <c r="K1" s="149" t="s">
        <v>314</v>
      </c>
    </row>
    <row r="2" spans="1:26" ht="15.6" x14ac:dyDescent="0.3">
      <c r="A2" s="141"/>
      <c r="K2" s="149"/>
    </row>
    <row r="3" spans="1:26" ht="15.6" x14ac:dyDescent="0.3">
      <c r="A3" s="141"/>
      <c r="K3" s="149"/>
    </row>
    <row r="4" spans="1:26" ht="15.6" x14ac:dyDescent="0.3">
      <c r="A4" s="141"/>
      <c r="K4" s="149"/>
    </row>
    <row r="5" spans="1:26" ht="15.6" x14ac:dyDescent="0.3">
      <c r="A5" s="141"/>
      <c r="K5" s="149"/>
    </row>
    <row r="7" spans="1:26" x14ac:dyDescent="0.25">
      <c r="A7" s="89" t="s">
        <v>171</v>
      </c>
      <c r="B7" s="90" t="s">
        <v>250</v>
      </c>
      <c r="F7" s="50"/>
      <c r="G7" s="61" t="s">
        <v>256</v>
      </c>
    </row>
    <row r="8" spans="1:26" x14ac:dyDescent="0.25">
      <c r="A8" s="89"/>
      <c r="B8" s="90"/>
    </row>
    <row r="9" spans="1:26" x14ac:dyDescent="0.25">
      <c r="A9" s="89" t="s">
        <v>162</v>
      </c>
      <c r="B9" s="90" t="s">
        <v>255</v>
      </c>
      <c r="Z9" s="91" t="b">
        <v>1</v>
      </c>
    </row>
    <row r="11" spans="1:26" ht="19.5" customHeight="1" x14ac:dyDescent="0.25"/>
    <row r="12" spans="1:26" ht="12.75" customHeight="1" x14ac:dyDescent="0.25">
      <c r="B12" s="547" t="s">
        <v>148</v>
      </c>
      <c r="C12" s="610"/>
      <c r="D12" s="610"/>
      <c r="E12" s="548"/>
      <c r="F12" s="540" t="s">
        <v>166</v>
      </c>
      <c r="G12" s="541"/>
      <c r="H12" s="542"/>
      <c r="I12" s="594" t="s">
        <v>276</v>
      </c>
      <c r="J12" s="540" t="s">
        <v>277</v>
      </c>
      <c r="K12" s="542"/>
      <c r="L12" s="594" t="s">
        <v>306</v>
      </c>
    </row>
    <row r="13" spans="1:26" x14ac:dyDescent="0.25">
      <c r="B13" s="605"/>
      <c r="C13" s="611"/>
      <c r="D13" s="611"/>
      <c r="E13" s="606"/>
      <c r="F13" s="7" t="s">
        <v>257</v>
      </c>
      <c r="G13" s="7" t="s">
        <v>149</v>
      </c>
      <c r="H13" s="7" t="str">
        <f>IF($Z$9=TRUE,"RBCI","No Index")</f>
        <v>RBCI</v>
      </c>
      <c r="I13" s="595"/>
      <c r="J13" s="7" t="s">
        <v>257</v>
      </c>
      <c r="K13" s="7" t="s">
        <v>149</v>
      </c>
      <c r="L13" s="595"/>
    </row>
    <row r="14" spans="1:26" ht="15" customHeight="1" x14ac:dyDescent="0.25">
      <c r="F14" s="9">
        <f>+INDEX(E66:E69,S15)</f>
        <v>0</v>
      </c>
      <c r="G14" s="158" t="s">
        <v>302</v>
      </c>
      <c r="H14" s="3">
        <f>IF($Z$9=TRUE,91.8,"")</f>
        <v>91.8</v>
      </c>
      <c r="I14" s="11">
        <f>IF($Z$9=TRUE,'June 2009 Summary'!$D$16/'Car Parking'!$H$14,1)</f>
        <v>1.0370370370370372</v>
      </c>
      <c r="J14" s="9">
        <f>+F14*I14</f>
        <v>0</v>
      </c>
      <c r="K14" s="55" t="str">
        <f>+'June 2009 Summary'!D14</f>
        <v>Jun '09</v>
      </c>
      <c r="L14" s="159">
        <f>+INDEX(F66:F69,S15)</f>
        <v>0</v>
      </c>
    </row>
    <row r="15" spans="1:26" x14ac:dyDescent="0.25">
      <c r="F15" s="71" t="str">
        <f>IF($Z$9=TRUE,"Note - RBCI applied given condition of approval","Note - Base Rate set per policy, as yet no indexation applies automatically")</f>
        <v>Note - RBCI applied given condition of approval</v>
      </c>
      <c r="G15" s="71"/>
      <c r="S15" s="91">
        <v>1</v>
      </c>
    </row>
    <row r="17" spans="1:4" x14ac:dyDescent="0.25">
      <c r="A17" s="89" t="s">
        <v>163</v>
      </c>
      <c r="B17" s="90" t="s">
        <v>167</v>
      </c>
    </row>
    <row r="18" spans="1:4" x14ac:dyDescent="0.25">
      <c r="B18" s="145" t="s">
        <v>258</v>
      </c>
      <c r="C18" s="146">
        <f>+(F7*J14)</f>
        <v>0</v>
      </c>
      <c r="D18" s="144" t="str">
        <f>+K14</f>
        <v>Jun '09</v>
      </c>
    </row>
    <row r="49" spans="1:6" x14ac:dyDescent="0.25">
      <c r="A49" s="89"/>
    </row>
    <row r="50" spans="1:6" x14ac:dyDescent="0.25">
      <c r="E50" s="147"/>
    </row>
    <row r="51" spans="1:6" x14ac:dyDescent="0.25">
      <c r="E51" s="147"/>
    </row>
    <row r="52" spans="1:6" x14ac:dyDescent="0.25">
      <c r="E52" s="147"/>
    </row>
    <row r="53" spans="1:6" x14ac:dyDescent="0.25">
      <c r="E53" s="147"/>
    </row>
    <row r="54" spans="1:6" x14ac:dyDescent="0.25">
      <c r="E54" s="147"/>
    </row>
    <row r="55" spans="1:6" x14ac:dyDescent="0.25">
      <c r="E55" s="147"/>
    </row>
    <row r="56" spans="1:6" x14ac:dyDescent="0.25">
      <c r="E56" s="147"/>
    </row>
    <row r="57" spans="1:6" x14ac:dyDescent="0.25">
      <c r="B57" s="89"/>
    </row>
    <row r="60" spans="1:6" ht="12" customHeight="1" x14ac:dyDescent="0.25"/>
    <row r="61" spans="1:6" x14ac:dyDescent="0.25">
      <c r="B61" s="112" t="s">
        <v>169</v>
      </c>
    </row>
    <row r="63" spans="1:6" x14ac:dyDescent="0.25">
      <c r="B63" s="626" t="s">
        <v>434</v>
      </c>
      <c r="C63" s="627"/>
      <c r="D63" s="627"/>
      <c r="E63" s="627"/>
      <c r="F63" s="628"/>
    </row>
    <row r="64" spans="1:6" ht="12" customHeight="1" x14ac:dyDescent="0.25">
      <c r="B64" s="620" t="s">
        <v>259</v>
      </c>
      <c r="C64" s="621"/>
      <c r="D64" s="622"/>
      <c r="E64" s="629" t="s">
        <v>152</v>
      </c>
      <c r="F64" s="628"/>
    </row>
    <row r="65" spans="2:6" x14ac:dyDescent="0.25">
      <c r="B65" s="623"/>
      <c r="C65" s="624"/>
      <c r="D65" s="625"/>
      <c r="E65" s="211" t="s">
        <v>150</v>
      </c>
      <c r="F65" s="215" t="s">
        <v>315</v>
      </c>
    </row>
    <row r="66" spans="2:6" x14ac:dyDescent="0.25">
      <c r="B66" s="113" t="s">
        <v>158</v>
      </c>
      <c r="C66" s="114"/>
      <c r="D66" s="93"/>
      <c r="E66" s="128"/>
      <c r="F66" s="128"/>
    </row>
    <row r="67" spans="2:6" x14ac:dyDescent="0.25">
      <c r="B67" s="115" t="s">
        <v>252</v>
      </c>
      <c r="D67" s="95"/>
      <c r="E67" s="94">
        <v>42590</v>
      </c>
      <c r="F67" s="94" t="s">
        <v>319</v>
      </c>
    </row>
    <row r="68" spans="2:6" x14ac:dyDescent="0.25">
      <c r="B68" s="115" t="s">
        <v>253</v>
      </c>
      <c r="D68" s="95"/>
      <c r="E68" s="94">
        <f>+E67</f>
        <v>42590</v>
      </c>
      <c r="F68" s="94" t="s">
        <v>319</v>
      </c>
    </row>
    <row r="69" spans="2:6" x14ac:dyDescent="0.25">
      <c r="B69" s="116" t="s">
        <v>251</v>
      </c>
      <c r="C69" s="117"/>
      <c r="D69" s="101"/>
      <c r="E69" s="100">
        <v>9345</v>
      </c>
      <c r="F69" s="100" t="s">
        <v>320</v>
      </c>
    </row>
  </sheetData>
  <sheetProtection password="CDF4" sheet="1" objects="1" scenarios="1"/>
  <customSheetViews>
    <customSheetView guid="{27B7C317-A4C8-4AFE-A1B4-96A5038E57EE}" scale="85" showGridLines="0" fitToPage="1" hiddenColumns="1" showRuler="0">
      <selection activeCell="F7" sqref="F7"/>
      <pageMargins left="0.75" right="0.75" top="1" bottom="1" header="0.5" footer="0.5"/>
      <pageSetup paperSize="9" scale="76" orientation="portrait" r:id="rId1"/>
      <headerFooter alignWithMargins="0"/>
    </customSheetView>
  </customSheetViews>
  <mergeCells count="8">
    <mergeCell ref="L12:L13"/>
    <mergeCell ref="J12:K12"/>
    <mergeCell ref="B12:E13"/>
    <mergeCell ref="B64:D65"/>
    <mergeCell ref="B63:F63"/>
    <mergeCell ref="F12:H12"/>
    <mergeCell ref="I12:I13"/>
    <mergeCell ref="E64:F64"/>
  </mergeCells>
  <phoneticPr fontId="4" type="noConversion"/>
  <pageMargins left="0.74803149606299213" right="0.74803149606299213" top="0.98425196850393704" bottom="0.98425196850393704" header="0.51181102362204722" footer="0.51181102362204722"/>
  <pageSetup paperSize="9" orientation="landscape"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17" r:id="rId5" name="Drop Down 1">
              <controlPr defaultSize="0" autoLine="0" autoPict="0">
                <anchor moveWithCells="1">
                  <from>
                    <xdr:col>1</xdr:col>
                    <xdr:colOff>0</xdr:colOff>
                    <xdr:row>13</xdr:row>
                    <xdr:rowOff>7620</xdr:rowOff>
                  </from>
                  <to>
                    <xdr:col>5</xdr:col>
                    <xdr:colOff>0</xdr:colOff>
                    <xdr:row>14</xdr:row>
                    <xdr:rowOff>22860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sizeWithCells="1">
                  <from>
                    <xdr:col>0</xdr:col>
                    <xdr:colOff>266700</xdr:colOff>
                    <xdr:row>9</xdr:row>
                    <xdr:rowOff>38100</xdr:rowOff>
                  </from>
                  <to>
                    <xdr:col>7</xdr:col>
                    <xdr:colOff>480060</xdr:colOff>
                    <xdr:row>10</xdr:row>
                    <xdr:rowOff>144780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S202"/>
  <sheetViews>
    <sheetView showGridLines="0" zoomScale="75" workbookViewId="0">
      <selection activeCell="G11" sqref="G11"/>
    </sheetView>
  </sheetViews>
  <sheetFormatPr defaultColWidth="9.109375" defaultRowHeight="13.2" x14ac:dyDescent="0.25"/>
  <cols>
    <col min="1" max="1" width="5.109375" style="61" customWidth="1"/>
    <col min="2" max="2" width="11.44140625" style="61" customWidth="1"/>
    <col min="3" max="3" width="13.109375" style="61" customWidth="1"/>
    <col min="4" max="4" width="11.88671875" style="61" customWidth="1"/>
    <col min="5" max="5" width="13.109375" style="61" customWidth="1"/>
    <col min="6" max="6" width="11.88671875" style="61" customWidth="1"/>
    <col min="7" max="7" width="9.109375" style="61"/>
    <col min="8" max="8" width="11.5546875" style="61" customWidth="1"/>
    <col min="9" max="9" width="11.88671875" style="61" customWidth="1"/>
    <col min="10" max="13" width="9.109375" style="61"/>
    <col min="14" max="14" width="12.109375" style="61" customWidth="1"/>
    <col min="15" max="15" width="12" style="61" customWidth="1"/>
    <col min="16" max="16" width="11.88671875" style="61" customWidth="1"/>
    <col min="17" max="17" width="16.88671875" style="61" customWidth="1"/>
    <col min="18" max="18" width="9.109375" style="61"/>
    <col min="19" max="19" width="9.109375" style="61" hidden="1" customWidth="1"/>
    <col min="20" max="21" width="9.109375" style="61"/>
    <col min="22" max="22" width="12.109375" style="61" customWidth="1"/>
    <col min="23" max="16384" width="9.109375" style="61"/>
  </cols>
  <sheetData>
    <row r="1" spans="1:19" ht="15.6" x14ac:dyDescent="0.3">
      <c r="A1" s="87" t="s">
        <v>265</v>
      </c>
      <c r="J1" s="149" t="s">
        <v>399</v>
      </c>
    </row>
    <row r="2" spans="1:19" ht="15.6" x14ac:dyDescent="0.3">
      <c r="A2" s="141"/>
      <c r="J2" s="82"/>
    </row>
    <row r="3" spans="1:19" ht="15.6" x14ac:dyDescent="0.3">
      <c r="A3" s="141"/>
      <c r="J3" s="82"/>
    </row>
    <row r="4" spans="1:19" ht="15.6" x14ac:dyDescent="0.3">
      <c r="A4" s="141"/>
      <c r="J4" s="82"/>
    </row>
    <row r="5" spans="1:19" ht="15.6" x14ac:dyDescent="0.3">
      <c r="A5" s="141"/>
      <c r="J5" s="82"/>
    </row>
    <row r="6" spans="1:19" x14ac:dyDescent="0.25">
      <c r="S6" s="91">
        <v>1</v>
      </c>
    </row>
    <row r="7" spans="1:19" x14ac:dyDescent="0.25">
      <c r="A7" s="89" t="s">
        <v>171</v>
      </c>
      <c r="B7" s="90" t="s">
        <v>153</v>
      </c>
      <c r="C7" s="90"/>
      <c r="S7" s="91">
        <v>1</v>
      </c>
    </row>
    <row r="8" spans="1:19" x14ac:dyDescent="0.25">
      <c r="A8" s="89"/>
      <c r="C8" s="90"/>
      <c r="S8" s="91"/>
    </row>
    <row r="9" spans="1:19" x14ac:dyDescent="0.25">
      <c r="A9" s="89">
        <v>2</v>
      </c>
      <c r="B9" s="90" t="s">
        <v>160</v>
      </c>
      <c r="S9" s="91"/>
    </row>
    <row r="10" spans="1:19" x14ac:dyDescent="0.25">
      <c r="B10" s="4" t="s">
        <v>155</v>
      </c>
      <c r="C10" s="5"/>
      <c r="D10" s="5"/>
      <c r="E10" s="4" t="s">
        <v>157</v>
      </c>
      <c r="F10" s="6"/>
      <c r="G10" s="7" t="s">
        <v>156</v>
      </c>
      <c r="H10" s="180" t="s">
        <v>363</v>
      </c>
      <c r="I10" s="172" t="s">
        <v>398</v>
      </c>
      <c r="S10" s="91"/>
    </row>
    <row r="11" spans="1:19" ht="15" customHeight="1" x14ac:dyDescent="0.25">
      <c r="E11" s="588" t="str">
        <f>+IF(S11&gt;1,INDEX($Q$90:$Q$159,S11),"")</f>
        <v/>
      </c>
      <c r="F11" s="589"/>
      <c r="G11" s="50"/>
      <c r="H11" s="1" t="str">
        <f>+IF(OR(E11="FPA",E11="")," ",INDEX($R$90:$R$159,S11))</f>
        <v xml:space="preserve"> </v>
      </c>
      <c r="I11" s="2" t="str">
        <f>+IF(H11=" ","",G11*H11)</f>
        <v/>
      </c>
      <c r="S11" s="91">
        <v>1</v>
      </c>
    </row>
    <row r="12" spans="1:19" ht="15" customHeight="1" x14ac:dyDescent="0.25">
      <c r="E12" s="588" t="str">
        <f>+IF(S12&gt;1,INDEX($Q$90:$Q$159,S12),"")</f>
        <v/>
      </c>
      <c r="F12" s="589"/>
      <c r="G12" s="50"/>
      <c r="H12" s="1" t="str">
        <f>+IF(OR(E12="FPA",E12="")," ",INDEX($R$90:$R$159,S12))</f>
        <v xml:space="preserve"> </v>
      </c>
      <c r="I12" s="2" t="str">
        <f>+IF(H12=" ","",G12*H12)</f>
        <v/>
      </c>
      <c r="S12" s="91">
        <v>1</v>
      </c>
    </row>
    <row r="13" spans="1:19" ht="15" customHeight="1" x14ac:dyDescent="0.25">
      <c r="E13" s="588" t="str">
        <f>+IF(S13&gt;1,INDEX($Q$90:$Q$159,S13),"")</f>
        <v/>
      </c>
      <c r="F13" s="589"/>
      <c r="G13" s="50"/>
      <c r="H13" s="1" t="str">
        <f>+IF(OR(E13="FPA",E13="")," ",INDEX($R$90:$R$159,S13))</f>
        <v xml:space="preserve"> </v>
      </c>
      <c r="I13" s="3" t="str">
        <f>+IF(H13=" ","",G13*H13)</f>
        <v/>
      </c>
      <c r="S13" s="91">
        <v>1</v>
      </c>
    </row>
    <row r="14" spans="1:19" ht="15" customHeight="1" x14ac:dyDescent="0.25">
      <c r="D14" s="81" t="str">
        <f>+IF(OR(E11="FPA",E12="FPA",E13="FPA")," Summarise First Principles Assessment (FPA):","First Principles Assessment only:")</f>
        <v>First Principles Assessment only:</v>
      </c>
      <c r="E14" s="58"/>
      <c r="F14" s="179"/>
      <c r="G14" s="50"/>
      <c r="H14" s="50"/>
      <c r="I14" s="3">
        <f>+IF(H14=" ","",G14*H14)</f>
        <v>0</v>
      </c>
      <c r="S14" s="91"/>
    </row>
    <row r="15" spans="1:19" x14ac:dyDescent="0.25">
      <c r="H15" s="96" t="s">
        <v>159</v>
      </c>
      <c r="I15" s="56">
        <f>SUM(I11:I14)</f>
        <v>0</v>
      </c>
      <c r="S15" s="91"/>
    </row>
    <row r="16" spans="1:19" x14ac:dyDescent="0.25">
      <c r="S16" s="91"/>
    </row>
    <row r="17" spans="1:19" x14ac:dyDescent="0.25">
      <c r="A17" s="111">
        <v>3</v>
      </c>
      <c r="B17" s="90" t="s">
        <v>161</v>
      </c>
      <c r="S17" s="91"/>
    </row>
    <row r="18" spans="1:19" x14ac:dyDescent="0.25">
      <c r="B18" s="4" t="s">
        <v>155</v>
      </c>
      <c r="C18" s="5"/>
      <c r="D18" s="5"/>
      <c r="E18" s="4" t="s">
        <v>157</v>
      </c>
      <c r="F18" s="6"/>
      <c r="G18" s="7" t="s">
        <v>156</v>
      </c>
      <c r="H18" s="8" t="str">
        <f>+H10</f>
        <v>TDU/unit</v>
      </c>
      <c r="I18" s="7" t="str">
        <f>+I10</f>
        <v>TDU's</v>
      </c>
      <c r="S18" s="91"/>
    </row>
    <row r="19" spans="1:19" ht="15" customHeight="1" x14ac:dyDescent="0.25">
      <c r="E19" s="12" t="str">
        <f>+IF(S19&gt;1,INDEX($Q$90:$Q$159,S19),"")</f>
        <v/>
      </c>
      <c r="F19" s="14"/>
      <c r="G19" s="50"/>
      <c r="H19" s="1" t="str">
        <f>+IF(OR(E19="FPA",E19="")," ",INDEX($R$90:$R$159,S19))</f>
        <v xml:space="preserve"> </v>
      </c>
      <c r="I19" s="2" t="str">
        <f>+IF(H19=" ","",G19*H19)</f>
        <v/>
      </c>
      <c r="S19" s="91">
        <v>1</v>
      </c>
    </row>
    <row r="20" spans="1:19" ht="15" customHeight="1" x14ac:dyDescent="0.25">
      <c r="E20" s="12" t="str">
        <f>+IF(S20&gt;1,INDEX($Q$90:$Q$159,S20),"")</f>
        <v/>
      </c>
      <c r="F20" s="14"/>
      <c r="G20" s="50"/>
      <c r="H20" s="1" t="str">
        <f>+IF(OR(E20="FPA",E20="")," ",INDEX($R$90:$R$159,S20))</f>
        <v xml:space="preserve"> </v>
      </c>
      <c r="I20" s="2" t="str">
        <f>+IF(H20=" ","",G20*H20)</f>
        <v/>
      </c>
      <c r="S20" s="91">
        <v>1</v>
      </c>
    </row>
    <row r="21" spans="1:19" ht="15" customHeight="1" x14ac:dyDescent="0.25">
      <c r="E21" s="12" t="str">
        <f>+IF(S21&gt;1,INDEX($Q$90:$Q$159,S21),"")</f>
        <v/>
      </c>
      <c r="F21" s="14"/>
      <c r="G21" s="50"/>
      <c r="H21" s="1" t="str">
        <f>+IF(OR(E21="FPA",E21="")," ",INDEX($R$90:$R$159,S21))</f>
        <v xml:space="preserve"> </v>
      </c>
      <c r="I21" s="3" t="str">
        <f>+IF(H21=" ","",G21*H21)</f>
        <v/>
      </c>
      <c r="S21" s="91">
        <v>1</v>
      </c>
    </row>
    <row r="22" spans="1:19" ht="15" customHeight="1" x14ac:dyDescent="0.25">
      <c r="D22" s="81" t="str">
        <f>+IF(OR(E19="FPA",E20="FPA",E21="FPA")," Summarise First Principles Assessment (FPA):","First Principles Assessment only:")</f>
        <v>First Principles Assessment only:</v>
      </c>
      <c r="E22" s="58"/>
      <c r="F22" s="179"/>
      <c r="G22" s="50"/>
      <c r="H22" s="50"/>
      <c r="I22" s="3">
        <f>+IF(H22=" ","",G22*H22)</f>
        <v>0</v>
      </c>
      <c r="S22" s="91"/>
    </row>
    <row r="23" spans="1:19" x14ac:dyDescent="0.25">
      <c r="H23" s="96" t="s">
        <v>159</v>
      </c>
      <c r="I23" s="56">
        <f>SUM(I19:I22)</f>
        <v>0</v>
      </c>
      <c r="S23" s="91"/>
    </row>
    <row r="24" spans="1:19" x14ac:dyDescent="0.25">
      <c r="S24" s="91"/>
    </row>
    <row r="25" spans="1:19" x14ac:dyDescent="0.25">
      <c r="A25" s="89">
        <v>4</v>
      </c>
      <c r="B25" s="90" t="s">
        <v>168</v>
      </c>
      <c r="S25" s="91"/>
    </row>
    <row r="26" spans="1:19" ht="12.75" customHeight="1" x14ac:dyDescent="0.25">
      <c r="B26" s="547" t="s">
        <v>148</v>
      </c>
      <c r="C26" s="610"/>
      <c r="D26" s="548"/>
      <c r="E26" s="173"/>
      <c r="F26" s="540" t="s">
        <v>166</v>
      </c>
      <c r="G26" s="541"/>
      <c r="H26" s="541"/>
      <c r="I26" s="542"/>
      <c r="J26" s="594" t="s">
        <v>276</v>
      </c>
      <c r="K26" s="540" t="s">
        <v>277</v>
      </c>
      <c r="L26" s="542"/>
      <c r="M26" s="594" t="s">
        <v>306</v>
      </c>
      <c r="S26" s="91"/>
    </row>
    <row r="27" spans="1:19" x14ac:dyDescent="0.25">
      <c r="B27" s="605"/>
      <c r="C27" s="611"/>
      <c r="D27" s="606"/>
      <c r="E27" s="174" t="s">
        <v>233</v>
      </c>
      <c r="F27" s="171" t="s">
        <v>397</v>
      </c>
      <c r="G27" s="51" t="s">
        <v>149</v>
      </c>
      <c r="H27" s="540" t="s">
        <v>396</v>
      </c>
      <c r="I27" s="541"/>
      <c r="J27" s="595"/>
      <c r="K27" s="7" t="str">
        <f>+F27</f>
        <v>$/TDU</v>
      </c>
      <c r="L27" s="7" t="s">
        <v>149</v>
      </c>
      <c r="M27" s="595"/>
      <c r="S27" s="91"/>
    </row>
    <row r="28" spans="1:19" ht="15" customHeight="1" x14ac:dyDescent="0.25">
      <c r="E28" s="168" t="s">
        <v>392</v>
      </c>
      <c r="F28" s="9">
        <f>+INDEX($E$75:$E$85,$S$28)</f>
        <v>657</v>
      </c>
      <c r="G28" s="52" t="s">
        <v>309</v>
      </c>
      <c r="H28" s="169" t="s">
        <v>151</v>
      </c>
      <c r="I28" s="57">
        <v>80.099999999999994</v>
      </c>
      <c r="J28" s="11">
        <f>+'June 2009 Summary'!$D$16/Roads!I28</f>
        <v>1.1885143570536829</v>
      </c>
      <c r="K28" s="9">
        <f>+J28*F28</f>
        <v>780.85393258426973</v>
      </c>
      <c r="L28" s="52" t="str">
        <f>+'June 2009 Summary'!D14</f>
        <v>Jun '09</v>
      </c>
      <c r="M28" s="158" t="str">
        <f>+INDEX($I$75:$I$85,S28)</f>
        <v>CON110</v>
      </c>
      <c r="S28" s="91">
        <v>2</v>
      </c>
    </row>
    <row r="29" spans="1:19" x14ac:dyDescent="0.25">
      <c r="B29" s="71"/>
      <c r="E29" s="168" t="s">
        <v>393</v>
      </c>
      <c r="F29" s="9">
        <f>+INDEX($F$75:$F$85,$S$28)</f>
        <v>1</v>
      </c>
      <c r="G29" s="52" t="s">
        <v>309</v>
      </c>
      <c r="H29" s="170" t="s">
        <v>303</v>
      </c>
      <c r="I29" s="57">
        <v>84.5</v>
      </c>
      <c r="J29" s="11">
        <f>+'June 2009 Summary'!$D$15/Roads!I29</f>
        <v>1.0994082840236687</v>
      </c>
      <c r="K29" s="9">
        <f>+J29*F29</f>
        <v>1.0994082840236687</v>
      </c>
      <c r="L29" s="52" t="str">
        <f>+L28</f>
        <v>Jun '09</v>
      </c>
      <c r="M29" s="158" t="str">
        <f>+M28</f>
        <v>CON110</v>
      </c>
    </row>
    <row r="30" spans="1:19" x14ac:dyDescent="0.25">
      <c r="B30" s="71"/>
      <c r="E30" s="168" t="s">
        <v>394</v>
      </c>
      <c r="F30" s="9">
        <f>+INDEX($G$75:$G$85,$S$28)</f>
        <v>1591</v>
      </c>
      <c r="G30" s="52" t="s">
        <v>309</v>
      </c>
      <c r="H30" s="169" t="s">
        <v>151</v>
      </c>
      <c r="I30" s="57">
        <f>I28</f>
        <v>80.099999999999994</v>
      </c>
      <c r="J30" s="11">
        <f>+'June 2009 Summary'!$D$16/Roads!I30</f>
        <v>1.1885143570536829</v>
      </c>
      <c r="K30" s="9">
        <f>+J30*F30</f>
        <v>1890.9263420724096</v>
      </c>
      <c r="L30" s="52" t="str">
        <f>+L29</f>
        <v>Jun '09</v>
      </c>
      <c r="M30" s="158" t="str">
        <f>+INDEX($J$75:$J$85,S28)</f>
        <v>CON210</v>
      </c>
    </row>
    <row r="31" spans="1:19" x14ac:dyDescent="0.25">
      <c r="B31" s="71"/>
      <c r="E31" s="168" t="s">
        <v>395</v>
      </c>
      <c r="F31" s="9">
        <f>+INDEX($H$75:$H$85,$S$28)</f>
        <v>34</v>
      </c>
      <c r="G31" s="52" t="s">
        <v>309</v>
      </c>
      <c r="H31" s="170" t="s">
        <v>303</v>
      </c>
      <c r="I31" s="57">
        <f>I29</f>
        <v>84.5</v>
      </c>
      <c r="J31" s="11">
        <f>+'June 2009 Summary'!$D$15/Roads!I31</f>
        <v>1.0994082840236687</v>
      </c>
      <c r="K31" s="9">
        <f>+J31*F31</f>
        <v>37.379881656804734</v>
      </c>
      <c r="L31" s="52" t="str">
        <f>+L30</f>
        <v>Jun '09</v>
      </c>
      <c r="M31" s="158" t="str">
        <f>+M30</f>
        <v>CON210</v>
      </c>
    </row>
    <row r="32" spans="1:19" x14ac:dyDescent="0.25">
      <c r="B32" s="71"/>
      <c r="F32" s="149" t="s">
        <v>400</v>
      </c>
    </row>
    <row r="34" spans="1:5" x14ac:dyDescent="0.25">
      <c r="A34" s="89">
        <v>5</v>
      </c>
      <c r="B34" s="90" t="s">
        <v>283</v>
      </c>
    </row>
    <row r="35" spans="1:5" x14ac:dyDescent="0.25">
      <c r="B35" s="102" t="s">
        <v>249</v>
      </c>
      <c r="C35" s="143">
        <f>+IF($I$15&gt;$I$23,($I$15-$I$23)*K28,0)</f>
        <v>0</v>
      </c>
      <c r="D35" s="148" t="str">
        <f>+E28</f>
        <v>TCC Works</v>
      </c>
      <c r="E35" s="103" t="str">
        <f>+IF(I23&gt;I15,"No credit in excess of the demand is given","")</f>
        <v/>
      </c>
    </row>
    <row r="36" spans="1:5" x14ac:dyDescent="0.25">
      <c r="C36" s="143">
        <f>+IF($I$15&gt;$I$23,($I$15-$I$23)*K29,0)</f>
        <v>0</v>
      </c>
      <c r="D36" s="148" t="str">
        <f>+E29</f>
        <v>TCC Land</v>
      </c>
    </row>
    <row r="37" spans="1:5" ht="15" customHeight="1" x14ac:dyDescent="0.25">
      <c r="C37" s="143">
        <f>+IF($I$15&gt;$I$23,($I$15-$I$23)*K30,0)</f>
        <v>0</v>
      </c>
      <c r="D37" s="148" t="str">
        <f>+E30</f>
        <v>SCR Works</v>
      </c>
    </row>
    <row r="38" spans="1:5" ht="15" x14ac:dyDescent="0.4">
      <c r="A38" s="89"/>
      <c r="C38" s="204">
        <f>+IF($I$15&gt;$I$23,($I$15-$I$23)*K31,0)</f>
        <v>0</v>
      </c>
      <c r="D38" s="148" t="str">
        <f>+E31</f>
        <v>SCR Land</v>
      </c>
    </row>
    <row r="39" spans="1:5" x14ac:dyDescent="0.25">
      <c r="C39" s="143">
        <f>SUM(C35:C38)</f>
        <v>0</v>
      </c>
      <c r="D39" s="108" t="str">
        <f>+"("&amp;L28&amp;")"</f>
        <v>(Jun '09)</v>
      </c>
      <c r="E39" s="99"/>
    </row>
    <row r="40" spans="1:5" x14ac:dyDescent="0.25">
      <c r="B40" s="89"/>
      <c r="C40" s="196"/>
    </row>
    <row r="41" spans="1:5" x14ac:dyDescent="0.25">
      <c r="B41" s="89"/>
      <c r="C41" s="196"/>
    </row>
    <row r="42" spans="1:5" x14ac:dyDescent="0.25">
      <c r="B42" s="89"/>
      <c r="C42" s="196"/>
    </row>
    <row r="43" spans="1:5" x14ac:dyDescent="0.25">
      <c r="B43" s="89"/>
      <c r="C43" s="196"/>
    </row>
    <row r="44" spans="1:5" x14ac:dyDescent="0.25">
      <c r="B44" s="89"/>
      <c r="C44" s="196"/>
    </row>
    <row r="45" spans="1:5" x14ac:dyDescent="0.25">
      <c r="B45" s="89"/>
      <c r="C45" s="196"/>
    </row>
    <row r="46" spans="1:5" x14ac:dyDescent="0.25">
      <c r="B46" s="89"/>
      <c r="C46" s="196"/>
    </row>
    <row r="47" spans="1:5" x14ac:dyDescent="0.25">
      <c r="B47" s="89"/>
      <c r="C47" s="196"/>
    </row>
    <row r="48" spans="1:5" x14ac:dyDescent="0.25">
      <c r="B48" s="89"/>
      <c r="C48" s="196"/>
    </row>
    <row r="49" spans="2:6" x14ac:dyDescent="0.25">
      <c r="B49" s="89"/>
      <c r="C49" s="196"/>
    </row>
    <row r="50" spans="2:6" x14ac:dyDescent="0.25">
      <c r="B50" s="89"/>
      <c r="C50" s="196"/>
    </row>
    <row r="51" spans="2:6" x14ac:dyDescent="0.25">
      <c r="B51" s="89"/>
      <c r="C51" s="196"/>
    </row>
    <row r="52" spans="2:6" x14ac:dyDescent="0.25">
      <c r="B52" s="89"/>
      <c r="C52" s="196"/>
    </row>
    <row r="53" spans="2:6" x14ac:dyDescent="0.25">
      <c r="B53" s="89"/>
      <c r="C53" s="196"/>
    </row>
    <row r="54" spans="2:6" x14ac:dyDescent="0.25">
      <c r="B54" s="89"/>
      <c r="C54" s="196"/>
    </row>
    <row r="55" spans="2:6" x14ac:dyDescent="0.25">
      <c r="B55" s="89"/>
      <c r="C55" s="196"/>
    </row>
    <row r="56" spans="2:6" x14ac:dyDescent="0.25">
      <c r="B56" s="89"/>
      <c r="C56" s="196"/>
    </row>
    <row r="57" spans="2:6" x14ac:dyDescent="0.25">
      <c r="B57" s="89"/>
      <c r="C57" s="196"/>
    </row>
    <row r="60" spans="2:6" x14ac:dyDescent="0.25">
      <c r="B60" s="112" t="s">
        <v>169</v>
      </c>
    </row>
    <row r="62" spans="2:6" x14ac:dyDescent="0.25">
      <c r="B62" s="650" t="s">
        <v>153</v>
      </c>
      <c r="C62" s="651"/>
      <c r="D62" s="651"/>
      <c r="E62" s="651"/>
      <c r="F62" s="652"/>
    </row>
    <row r="63" spans="2:6" x14ac:dyDescent="0.25">
      <c r="B63" s="113"/>
      <c r="C63" s="114"/>
      <c r="D63" s="114"/>
      <c r="E63" s="114"/>
      <c r="F63" s="93"/>
    </row>
    <row r="64" spans="2:6" x14ac:dyDescent="0.25">
      <c r="B64" s="115" t="s">
        <v>232</v>
      </c>
      <c r="F64" s="95"/>
    </row>
    <row r="65" spans="2:10" x14ac:dyDescent="0.25">
      <c r="B65" s="115" t="s">
        <v>326</v>
      </c>
      <c r="F65" s="95"/>
    </row>
    <row r="66" spans="2:10" x14ac:dyDescent="0.25">
      <c r="B66" s="116"/>
      <c r="C66" s="117"/>
      <c r="D66" s="117"/>
      <c r="E66" s="117"/>
      <c r="F66" s="101"/>
    </row>
    <row r="72" spans="2:10" x14ac:dyDescent="0.25">
      <c r="B72" s="648" t="s">
        <v>391</v>
      </c>
      <c r="C72" s="649"/>
      <c r="D72" s="649"/>
      <c r="E72" s="649"/>
      <c r="F72" s="649"/>
      <c r="G72" s="649"/>
      <c r="H72" s="649"/>
      <c r="I72" s="639" t="s">
        <v>430</v>
      </c>
      <c r="J72" s="640"/>
    </row>
    <row r="73" spans="2:10" ht="12.75" customHeight="1" x14ac:dyDescent="0.25">
      <c r="B73" s="620" t="s">
        <v>148</v>
      </c>
      <c r="C73" s="621"/>
      <c r="D73" s="622"/>
      <c r="E73" s="646" t="s">
        <v>390</v>
      </c>
      <c r="F73" s="653"/>
      <c r="G73" s="646" t="s">
        <v>389</v>
      </c>
      <c r="H73" s="647"/>
      <c r="I73" s="641"/>
      <c r="J73" s="642"/>
    </row>
    <row r="74" spans="2:10" x14ac:dyDescent="0.25">
      <c r="B74" s="643"/>
      <c r="C74" s="644"/>
      <c r="D74" s="645"/>
      <c r="E74" s="194" t="s">
        <v>387</v>
      </c>
      <c r="F74" s="194" t="s">
        <v>388</v>
      </c>
      <c r="G74" s="194" t="s">
        <v>387</v>
      </c>
      <c r="H74" s="217" t="s">
        <v>388</v>
      </c>
      <c r="I74" s="194" t="s">
        <v>428</v>
      </c>
      <c r="J74" s="194" t="s">
        <v>429</v>
      </c>
    </row>
    <row r="75" spans="2:10" x14ac:dyDescent="0.25">
      <c r="B75" s="630" t="s">
        <v>158</v>
      </c>
      <c r="C75" s="631"/>
      <c r="D75" s="93"/>
      <c r="E75" s="120"/>
      <c r="F75" s="128"/>
      <c r="G75" s="120"/>
      <c r="H75" s="155"/>
      <c r="I75" s="120" t="s">
        <v>158</v>
      </c>
      <c r="J75" s="128" t="s">
        <v>158</v>
      </c>
    </row>
    <row r="76" spans="2:10" x14ac:dyDescent="0.25">
      <c r="B76" s="166" t="s">
        <v>401</v>
      </c>
      <c r="C76" s="121"/>
      <c r="D76" s="95"/>
      <c r="E76" s="122">
        <v>657</v>
      </c>
      <c r="F76" s="155">
        <v>1</v>
      </c>
      <c r="G76" s="122">
        <v>1591</v>
      </c>
      <c r="H76" s="155">
        <v>34</v>
      </c>
      <c r="I76" s="122" t="s">
        <v>440</v>
      </c>
      <c r="J76" s="133" t="s">
        <v>449</v>
      </c>
    </row>
    <row r="77" spans="2:10" x14ac:dyDescent="0.25">
      <c r="B77" s="166" t="s">
        <v>402</v>
      </c>
      <c r="C77" s="67"/>
      <c r="D77" s="95"/>
      <c r="E77" s="122">
        <v>90</v>
      </c>
      <c r="F77" s="155">
        <v>1</v>
      </c>
      <c r="G77" s="122">
        <v>1503</v>
      </c>
      <c r="H77" s="155">
        <v>34</v>
      </c>
      <c r="I77" s="122" t="s">
        <v>441</v>
      </c>
      <c r="J77" s="133" t="s">
        <v>450</v>
      </c>
    </row>
    <row r="78" spans="2:10" x14ac:dyDescent="0.25">
      <c r="B78" s="166" t="s">
        <v>403</v>
      </c>
      <c r="C78" s="67"/>
      <c r="D78" s="95"/>
      <c r="E78" s="122">
        <v>1064</v>
      </c>
      <c r="F78" s="155">
        <v>1</v>
      </c>
      <c r="G78" s="122">
        <v>1228</v>
      </c>
      <c r="H78" s="155">
        <v>34</v>
      </c>
      <c r="I78" s="122" t="s">
        <v>442</v>
      </c>
      <c r="J78" s="133" t="s">
        <v>451</v>
      </c>
    </row>
    <row r="79" spans="2:10" x14ac:dyDescent="0.25">
      <c r="B79" s="166" t="s">
        <v>404</v>
      </c>
      <c r="C79" s="67"/>
      <c r="D79" s="95"/>
      <c r="E79" s="122">
        <v>741</v>
      </c>
      <c r="F79" s="155">
        <v>1</v>
      </c>
      <c r="G79" s="122">
        <v>1228</v>
      </c>
      <c r="H79" s="155">
        <v>34</v>
      </c>
      <c r="I79" s="122" t="s">
        <v>443</v>
      </c>
      <c r="J79" s="133" t="s">
        <v>452</v>
      </c>
    </row>
    <row r="80" spans="2:10" x14ac:dyDescent="0.25">
      <c r="B80" s="166" t="s">
        <v>405</v>
      </c>
      <c r="C80" s="67"/>
      <c r="D80" s="95"/>
      <c r="E80" s="122">
        <v>615</v>
      </c>
      <c r="F80" s="155">
        <v>15</v>
      </c>
      <c r="G80" s="122">
        <v>1823</v>
      </c>
      <c r="H80" s="155">
        <v>34</v>
      </c>
      <c r="I80" s="122" t="s">
        <v>444</v>
      </c>
      <c r="J80" s="133" t="s">
        <v>453</v>
      </c>
    </row>
    <row r="81" spans="2:18" x14ac:dyDescent="0.25">
      <c r="B81" s="166" t="s">
        <v>406</v>
      </c>
      <c r="C81" s="67"/>
      <c r="D81" s="95"/>
      <c r="E81" s="122">
        <v>653</v>
      </c>
      <c r="F81" s="155">
        <v>38</v>
      </c>
      <c r="G81" s="122">
        <v>1228</v>
      </c>
      <c r="H81" s="155">
        <v>34</v>
      </c>
      <c r="I81" s="122" t="s">
        <v>445</v>
      </c>
      <c r="J81" s="133" t="s">
        <v>454</v>
      </c>
    </row>
    <row r="82" spans="2:18" x14ac:dyDescent="0.25">
      <c r="B82" s="166" t="s">
        <v>407</v>
      </c>
      <c r="C82" s="67"/>
      <c r="D82" s="95"/>
      <c r="E82" s="122">
        <v>90</v>
      </c>
      <c r="F82" s="155">
        <v>1</v>
      </c>
      <c r="G82" s="122">
        <v>3767</v>
      </c>
      <c r="H82" s="155">
        <v>34</v>
      </c>
      <c r="I82" s="122" t="s">
        <v>446</v>
      </c>
      <c r="J82" s="133" t="s">
        <v>455</v>
      </c>
    </row>
    <row r="83" spans="2:18" x14ac:dyDescent="0.25">
      <c r="B83" s="166" t="s">
        <v>408</v>
      </c>
      <c r="C83" s="67"/>
      <c r="D83" s="95"/>
      <c r="E83" s="122">
        <v>1785</v>
      </c>
      <c r="F83" s="155">
        <v>126</v>
      </c>
      <c r="G83" s="122">
        <v>1228</v>
      </c>
      <c r="H83" s="155">
        <v>34</v>
      </c>
      <c r="I83" s="167" t="s">
        <v>447</v>
      </c>
      <c r="J83" s="133" t="s">
        <v>456</v>
      </c>
    </row>
    <row r="84" spans="2:18" x14ac:dyDescent="0.25">
      <c r="B84" s="166" t="s">
        <v>409</v>
      </c>
      <c r="C84" s="67"/>
      <c r="D84" s="95"/>
      <c r="E84" s="122">
        <v>1994</v>
      </c>
      <c r="F84" s="155">
        <v>1</v>
      </c>
      <c r="G84" s="122">
        <v>1228</v>
      </c>
      <c r="H84" s="155">
        <v>34</v>
      </c>
      <c r="I84" s="122" t="s">
        <v>448</v>
      </c>
      <c r="J84" s="133" t="s">
        <v>457</v>
      </c>
    </row>
    <row r="85" spans="2:18" x14ac:dyDescent="0.25">
      <c r="B85" s="632"/>
      <c r="C85" s="633"/>
      <c r="D85" s="101"/>
      <c r="E85" s="124"/>
      <c r="F85" s="132"/>
      <c r="G85" s="124"/>
      <c r="H85" s="132"/>
      <c r="I85" s="124"/>
      <c r="J85" s="132"/>
    </row>
    <row r="88" spans="2:18" ht="12.75" customHeight="1" x14ac:dyDescent="0.25">
      <c r="B88" s="626" t="s">
        <v>327</v>
      </c>
      <c r="C88" s="627"/>
      <c r="D88" s="627"/>
      <c r="E88" s="627"/>
      <c r="F88" s="628"/>
      <c r="H88" s="626" t="s">
        <v>365</v>
      </c>
      <c r="I88" s="627"/>
      <c r="J88" s="627"/>
      <c r="K88" s="627"/>
      <c r="L88" s="628"/>
      <c r="N88" s="626" t="s">
        <v>170</v>
      </c>
      <c r="O88" s="627"/>
      <c r="P88" s="627"/>
      <c r="Q88" s="627"/>
      <c r="R88" s="628"/>
    </row>
    <row r="89" spans="2:18" x14ac:dyDescent="0.25">
      <c r="B89" s="634" t="s">
        <v>173</v>
      </c>
      <c r="C89" s="635"/>
      <c r="D89" s="636"/>
      <c r="E89" s="192" t="s">
        <v>101</v>
      </c>
      <c r="F89" s="186" t="s">
        <v>363</v>
      </c>
      <c r="H89" s="634" t="s">
        <v>100</v>
      </c>
      <c r="I89" s="635"/>
      <c r="J89" s="636"/>
      <c r="K89" s="192" t="s">
        <v>101</v>
      </c>
      <c r="L89" s="186" t="s">
        <v>363</v>
      </c>
      <c r="N89" s="634" t="str">
        <f>+IF($S$7=2,B89,IF($S$7=3,H89,""))</f>
        <v/>
      </c>
      <c r="O89" s="635"/>
      <c r="P89" s="636"/>
      <c r="Q89" s="637" t="str">
        <f>+IF($S$7=2,E89,IF($S$7=3,K89,""))</f>
        <v/>
      </c>
      <c r="R89" s="638"/>
    </row>
    <row r="90" spans="2:18" x14ac:dyDescent="0.25">
      <c r="B90" s="113"/>
      <c r="C90" s="114"/>
      <c r="D90" s="114"/>
      <c r="E90" s="129"/>
      <c r="F90" s="130"/>
      <c r="H90" s="113"/>
      <c r="I90" s="114"/>
      <c r="J90" s="114"/>
      <c r="K90" s="119"/>
      <c r="L90" s="129"/>
      <c r="N90" s="181"/>
      <c r="O90" s="182"/>
      <c r="P90" s="183"/>
      <c r="Q90" s="130"/>
      <c r="R90" s="130"/>
    </row>
    <row r="91" spans="2:18" x14ac:dyDescent="0.25">
      <c r="B91" s="166" t="s">
        <v>267</v>
      </c>
      <c r="E91" s="133" t="s">
        <v>194</v>
      </c>
      <c r="F91" s="156">
        <v>0.8</v>
      </c>
      <c r="H91" s="121" t="s">
        <v>76</v>
      </c>
      <c r="K91" s="178" t="s">
        <v>368</v>
      </c>
      <c r="L91" s="133">
        <v>2.8</v>
      </c>
      <c r="N91" s="115" t="str">
        <f>+IF($S$7=2,B91,IF($S$7=3,H91,""))</f>
        <v/>
      </c>
      <c r="O91" s="184"/>
      <c r="P91" s="185"/>
      <c r="Q91" s="156" t="str">
        <f>+IF($S$7=2,E91,IF($S$7=3,K91,""))</f>
        <v/>
      </c>
      <c r="R91" s="156" t="str">
        <f>+IF($S$7=2,F91,IF($S$7=3,L91,""))</f>
        <v/>
      </c>
    </row>
    <row r="92" spans="2:18" x14ac:dyDescent="0.25">
      <c r="B92" s="166" t="s">
        <v>127</v>
      </c>
      <c r="E92" s="133" t="s">
        <v>264</v>
      </c>
      <c r="F92" s="156">
        <v>1.1000000000000001</v>
      </c>
      <c r="H92" s="121" t="s">
        <v>77</v>
      </c>
      <c r="K92" s="178" t="s">
        <v>368</v>
      </c>
      <c r="L92" s="133">
        <v>2.8</v>
      </c>
      <c r="N92" s="115" t="str">
        <f t="shared" ref="N92:N155" si="0">+IF($S$7=2,B92,IF($S$7=3,H92,""))</f>
        <v/>
      </c>
      <c r="O92" s="184"/>
      <c r="P92" s="185"/>
      <c r="Q92" s="156" t="str">
        <f t="shared" ref="Q92:Q155" si="1">+IF($S$7=2,E92,IF($S$7=3,K92,""))</f>
        <v/>
      </c>
      <c r="R92" s="156" t="str">
        <f t="shared" ref="R92:R155" si="2">+IF($S$7=2,F92,IF($S$7=3,L92,""))</f>
        <v/>
      </c>
    </row>
    <row r="93" spans="2:18" x14ac:dyDescent="0.25">
      <c r="B93" s="166" t="s">
        <v>127</v>
      </c>
      <c r="E93" s="133" t="s">
        <v>364</v>
      </c>
      <c r="F93" s="156">
        <v>0.6</v>
      </c>
      <c r="H93" s="121" t="s">
        <v>366</v>
      </c>
      <c r="K93" s="178" t="s">
        <v>368</v>
      </c>
      <c r="L93" s="133">
        <v>2.8</v>
      </c>
      <c r="N93" s="115" t="str">
        <f t="shared" si="0"/>
        <v/>
      </c>
      <c r="P93" s="95"/>
      <c r="Q93" s="156" t="str">
        <f t="shared" si="1"/>
        <v/>
      </c>
      <c r="R93" s="156" t="str">
        <f t="shared" si="2"/>
        <v/>
      </c>
    </row>
    <row r="94" spans="2:18" x14ac:dyDescent="0.25">
      <c r="B94" s="115" t="s">
        <v>134</v>
      </c>
      <c r="E94" s="210" t="s">
        <v>432</v>
      </c>
      <c r="F94" s="156">
        <v>5.2</v>
      </c>
      <c r="H94" s="115" t="s">
        <v>78</v>
      </c>
      <c r="K94" s="178" t="s">
        <v>368</v>
      </c>
      <c r="L94" s="133">
        <v>2.8</v>
      </c>
      <c r="N94" s="115" t="str">
        <f t="shared" si="0"/>
        <v/>
      </c>
      <c r="P94" s="95"/>
      <c r="Q94" s="156" t="str">
        <f t="shared" si="1"/>
        <v/>
      </c>
      <c r="R94" s="156" t="str">
        <f t="shared" si="2"/>
        <v/>
      </c>
    </row>
    <row r="95" spans="2:18" x14ac:dyDescent="0.25">
      <c r="B95" s="166" t="s">
        <v>328</v>
      </c>
      <c r="E95" s="133" t="s">
        <v>191</v>
      </c>
      <c r="F95" s="156">
        <v>1.3</v>
      </c>
      <c r="H95" s="115" t="s">
        <v>79</v>
      </c>
      <c r="K95" s="178" t="s">
        <v>368</v>
      </c>
      <c r="L95" s="133">
        <v>2.8</v>
      </c>
      <c r="N95" s="115" t="str">
        <f t="shared" si="0"/>
        <v/>
      </c>
      <c r="P95" s="95"/>
      <c r="Q95" s="156" t="str">
        <f t="shared" si="1"/>
        <v/>
      </c>
      <c r="R95" s="156" t="str">
        <f t="shared" si="2"/>
        <v/>
      </c>
    </row>
    <row r="96" spans="2:18" x14ac:dyDescent="0.25">
      <c r="B96" s="166" t="s">
        <v>329</v>
      </c>
      <c r="E96" s="133" t="s">
        <v>191</v>
      </c>
      <c r="F96" s="156">
        <v>2.8</v>
      </c>
      <c r="H96" s="115" t="s">
        <v>80</v>
      </c>
      <c r="K96" s="178" t="s">
        <v>368</v>
      </c>
      <c r="L96" s="133">
        <v>2.8</v>
      </c>
      <c r="N96" s="115" t="str">
        <f t="shared" si="0"/>
        <v/>
      </c>
      <c r="P96" s="95"/>
      <c r="Q96" s="156" t="str">
        <f t="shared" si="1"/>
        <v/>
      </c>
      <c r="R96" s="156" t="str">
        <f t="shared" si="2"/>
        <v/>
      </c>
    </row>
    <row r="97" spans="2:18" x14ac:dyDescent="0.25">
      <c r="B97" s="115" t="s">
        <v>330</v>
      </c>
      <c r="E97" s="133" t="s">
        <v>130</v>
      </c>
      <c r="F97" s="156">
        <v>1.4</v>
      </c>
      <c r="H97" s="115" t="s">
        <v>81</v>
      </c>
      <c r="K97" s="178" t="s">
        <v>368</v>
      </c>
      <c r="L97" s="133">
        <v>2.8</v>
      </c>
      <c r="N97" s="115" t="str">
        <f t="shared" si="0"/>
        <v/>
      </c>
      <c r="P97" s="95"/>
      <c r="Q97" s="156" t="str">
        <f t="shared" si="1"/>
        <v/>
      </c>
      <c r="R97" s="156" t="str">
        <f t="shared" si="2"/>
        <v/>
      </c>
    </row>
    <row r="98" spans="2:18" x14ac:dyDescent="0.25">
      <c r="B98" s="166" t="s">
        <v>331</v>
      </c>
      <c r="E98" s="133" t="s">
        <v>130</v>
      </c>
      <c r="F98" s="156">
        <v>2.8</v>
      </c>
      <c r="H98" s="115" t="s">
        <v>82</v>
      </c>
      <c r="K98" s="178" t="s">
        <v>368</v>
      </c>
      <c r="L98" s="133">
        <v>2.8</v>
      </c>
      <c r="N98" s="115" t="str">
        <f t="shared" si="0"/>
        <v/>
      </c>
      <c r="P98" s="95"/>
      <c r="Q98" s="156" t="str">
        <f t="shared" si="1"/>
        <v/>
      </c>
      <c r="R98" s="156" t="str">
        <f t="shared" si="2"/>
        <v/>
      </c>
    </row>
    <row r="99" spans="2:18" x14ac:dyDescent="0.25">
      <c r="B99" s="115" t="s">
        <v>114</v>
      </c>
      <c r="E99" s="210" t="s">
        <v>432</v>
      </c>
      <c r="F99" s="156">
        <v>17.2</v>
      </c>
      <c r="H99" s="166" t="s">
        <v>83</v>
      </c>
      <c r="K99" s="178" t="s">
        <v>368</v>
      </c>
      <c r="L99" s="133">
        <v>2.8</v>
      </c>
      <c r="N99" s="115" t="str">
        <f t="shared" si="0"/>
        <v/>
      </c>
      <c r="P99" s="95"/>
      <c r="Q99" s="156" t="str">
        <f t="shared" si="1"/>
        <v/>
      </c>
      <c r="R99" s="156" t="str">
        <f t="shared" si="2"/>
        <v/>
      </c>
    </row>
    <row r="100" spans="2:18" x14ac:dyDescent="0.25">
      <c r="B100" s="115" t="s">
        <v>115</v>
      </c>
      <c r="E100" s="133" t="s">
        <v>369</v>
      </c>
      <c r="F100" s="156">
        <v>0.9</v>
      </c>
      <c r="H100" s="115" t="s">
        <v>84</v>
      </c>
      <c r="K100" s="178" t="s">
        <v>368</v>
      </c>
      <c r="L100" s="133">
        <v>2.8</v>
      </c>
      <c r="N100" s="115" t="str">
        <f t="shared" si="0"/>
        <v/>
      </c>
      <c r="P100" s="95"/>
      <c r="Q100" s="156" t="str">
        <f t="shared" si="1"/>
        <v/>
      </c>
      <c r="R100" s="156" t="str">
        <f t="shared" si="2"/>
        <v/>
      </c>
    </row>
    <row r="101" spans="2:18" x14ac:dyDescent="0.25">
      <c r="B101" s="115" t="s">
        <v>146</v>
      </c>
      <c r="E101" s="210" t="s">
        <v>431</v>
      </c>
      <c r="F101" s="156">
        <v>10</v>
      </c>
      <c r="H101" s="115" t="s">
        <v>367</v>
      </c>
      <c r="K101" s="178" t="s">
        <v>368</v>
      </c>
      <c r="L101" s="133">
        <v>2.8</v>
      </c>
      <c r="N101" s="115" t="str">
        <f t="shared" si="0"/>
        <v/>
      </c>
      <c r="P101" s="95"/>
      <c r="Q101" s="156" t="str">
        <f t="shared" si="1"/>
        <v/>
      </c>
      <c r="R101" s="156" t="str">
        <f t="shared" si="2"/>
        <v/>
      </c>
    </row>
    <row r="102" spans="2:18" x14ac:dyDescent="0.25">
      <c r="B102" s="115" t="s">
        <v>113</v>
      </c>
      <c r="E102" s="133" t="s">
        <v>130</v>
      </c>
      <c r="F102" s="156">
        <v>2.8</v>
      </c>
      <c r="H102" s="115" t="s">
        <v>86</v>
      </c>
      <c r="K102" s="178" t="s">
        <v>368</v>
      </c>
      <c r="L102" s="133">
        <v>2.8</v>
      </c>
      <c r="N102" s="115" t="str">
        <f t="shared" si="0"/>
        <v/>
      </c>
      <c r="P102" s="95"/>
      <c r="Q102" s="156" t="str">
        <f t="shared" si="1"/>
        <v/>
      </c>
      <c r="R102" s="156" t="str">
        <f t="shared" si="2"/>
        <v/>
      </c>
    </row>
    <row r="103" spans="2:18" x14ac:dyDescent="0.25">
      <c r="B103" s="115" t="s">
        <v>332</v>
      </c>
      <c r="E103" s="210" t="s">
        <v>432</v>
      </c>
      <c r="F103" s="156">
        <v>6.9</v>
      </c>
      <c r="H103" s="115" t="s">
        <v>87</v>
      </c>
      <c r="K103" s="178" t="s">
        <v>368</v>
      </c>
      <c r="L103" s="133">
        <v>2.8</v>
      </c>
      <c r="N103" s="115" t="str">
        <f t="shared" si="0"/>
        <v/>
      </c>
      <c r="P103" s="95"/>
      <c r="Q103" s="156" t="str">
        <f t="shared" si="1"/>
        <v/>
      </c>
      <c r="R103" s="156" t="str">
        <f t="shared" si="2"/>
        <v/>
      </c>
    </row>
    <row r="104" spans="2:18" x14ac:dyDescent="0.25">
      <c r="B104" s="115" t="s">
        <v>111</v>
      </c>
      <c r="E104" s="133" t="s">
        <v>130</v>
      </c>
      <c r="F104" s="156">
        <v>1.7</v>
      </c>
      <c r="H104" s="115" t="s">
        <v>88</v>
      </c>
      <c r="K104" s="178" t="s">
        <v>368</v>
      </c>
      <c r="L104" s="133">
        <v>2.8</v>
      </c>
      <c r="N104" s="115" t="str">
        <f t="shared" si="0"/>
        <v/>
      </c>
      <c r="P104" s="95"/>
      <c r="Q104" s="156" t="str">
        <f t="shared" si="1"/>
        <v/>
      </c>
      <c r="R104" s="156" t="str">
        <f t="shared" si="2"/>
        <v/>
      </c>
    </row>
    <row r="105" spans="2:18" x14ac:dyDescent="0.25">
      <c r="B105" s="115" t="s">
        <v>145</v>
      </c>
      <c r="E105" s="133" t="s">
        <v>369</v>
      </c>
      <c r="F105" s="156">
        <v>0.8</v>
      </c>
      <c r="H105" s="115" t="s">
        <v>89</v>
      </c>
      <c r="K105" s="178" t="s">
        <v>368</v>
      </c>
      <c r="L105" s="133">
        <v>2.8</v>
      </c>
      <c r="N105" s="115" t="str">
        <f t="shared" si="0"/>
        <v/>
      </c>
      <c r="P105" s="95"/>
      <c r="Q105" s="156" t="str">
        <f t="shared" si="1"/>
        <v/>
      </c>
      <c r="R105" s="156" t="str">
        <f t="shared" si="2"/>
        <v/>
      </c>
    </row>
    <row r="106" spans="2:18" x14ac:dyDescent="0.25">
      <c r="B106" s="115" t="s">
        <v>116</v>
      </c>
      <c r="E106" s="210" t="s">
        <v>432</v>
      </c>
      <c r="F106" s="156">
        <v>17.2</v>
      </c>
      <c r="H106" s="115" t="s">
        <v>90</v>
      </c>
      <c r="K106" s="178" t="s">
        <v>368</v>
      </c>
      <c r="L106" s="133">
        <v>2.8</v>
      </c>
      <c r="N106" s="115" t="str">
        <f t="shared" si="0"/>
        <v/>
      </c>
      <c r="P106" s="95"/>
      <c r="Q106" s="156" t="str">
        <f t="shared" si="1"/>
        <v/>
      </c>
      <c r="R106" s="156" t="str">
        <f t="shared" si="2"/>
        <v/>
      </c>
    </row>
    <row r="107" spans="2:18" x14ac:dyDescent="0.25">
      <c r="B107" s="166" t="s">
        <v>370</v>
      </c>
      <c r="E107" s="210" t="s">
        <v>431</v>
      </c>
      <c r="F107" s="156">
        <v>10</v>
      </c>
      <c r="H107" s="115" t="s">
        <v>91</v>
      </c>
      <c r="K107" s="178" t="s">
        <v>368</v>
      </c>
      <c r="L107" s="133">
        <v>2.8</v>
      </c>
      <c r="N107" s="115" t="str">
        <f t="shared" si="0"/>
        <v/>
      </c>
      <c r="P107" s="95"/>
      <c r="Q107" s="156" t="str">
        <f t="shared" si="1"/>
        <v/>
      </c>
      <c r="R107" s="156" t="str">
        <f t="shared" si="2"/>
        <v/>
      </c>
    </row>
    <row r="108" spans="2:18" x14ac:dyDescent="0.25">
      <c r="B108" s="115" t="s">
        <v>333</v>
      </c>
      <c r="E108" s="210" t="s">
        <v>432</v>
      </c>
      <c r="F108" s="156">
        <v>4.3</v>
      </c>
      <c r="H108" s="115" t="s">
        <v>92</v>
      </c>
      <c r="K108" s="178" t="s">
        <v>368</v>
      </c>
      <c r="L108" s="133">
        <v>2.8</v>
      </c>
      <c r="N108" s="115" t="str">
        <f t="shared" si="0"/>
        <v/>
      </c>
      <c r="P108" s="95"/>
      <c r="Q108" s="156" t="str">
        <f t="shared" si="1"/>
        <v/>
      </c>
      <c r="R108" s="156" t="str">
        <f t="shared" si="2"/>
        <v/>
      </c>
    </row>
    <row r="109" spans="2:18" x14ac:dyDescent="0.25">
      <c r="B109" s="115" t="s">
        <v>135</v>
      </c>
      <c r="E109" s="210" t="s">
        <v>432</v>
      </c>
      <c r="F109" s="156">
        <v>2.2000000000000002</v>
      </c>
      <c r="H109" s="115" t="s">
        <v>93</v>
      </c>
      <c r="K109" s="178" t="s">
        <v>368</v>
      </c>
      <c r="L109" s="133">
        <v>2.8</v>
      </c>
      <c r="N109" s="115" t="str">
        <f t="shared" si="0"/>
        <v/>
      </c>
      <c r="P109" s="95"/>
      <c r="Q109" s="156" t="str">
        <f t="shared" si="1"/>
        <v/>
      </c>
      <c r="R109" s="156" t="str">
        <f t="shared" si="2"/>
        <v/>
      </c>
    </row>
    <row r="110" spans="2:18" x14ac:dyDescent="0.25">
      <c r="B110" s="115" t="s">
        <v>133</v>
      </c>
      <c r="E110" s="133" t="s">
        <v>130</v>
      </c>
      <c r="F110" s="156">
        <v>6.9</v>
      </c>
      <c r="H110" s="115" t="s">
        <v>94</v>
      </c>
      <c r="K110" s="178" t="s">
        <v>105</v>
      </c>
      <c r="L110" s="133" t="s">
        <v>158</v>
      </c>
      <c r="N110" s="115" t="str">
        <f t="shared" si="0"/>
        <v/>
      </c>
      <c r="P110" s="95"/>
      <c r="Q110" s="156" t="str">
        <f t="shared" si="1"/>
        <v/>
      </c>
      <c r="R110" s="156" t="str">
        <f t="shared" si="2"/>
        <v/>
      </c>
    </row>
    <row r="111" spans="2:18" x14ac:dyDescent="0.25">
      <c r="B111" s="115" t="s">
        <v>334</v>
      </c>
      <c r="E111" s="133" t="s">
        <v>194</v>
      </c>
      <c r="F111" s="156">
        <v>0.9</v>
      </c>
      <c r="H111" s="115" t="s">
        <v>95</v>
      </c>
      <c r="K111" s="178" t="s">
        <v>368</v>
      </c>
      <c r="L111" s="133">
        <v>2.8</v>
      </c>
      <c r="N111" s="115" t="str">
        <f t="shared" si="0"/>
        <v/>
      </c>
      <c r="P111" s="95"/>
      <c r="Q111" s="156" t="str">
        <f t="shared" si="1"/>
        <v/>
      </c>
      <c r="R111" s="156" t="str">
        <f t="shared" si="2"/>
        <v/>
      </c>
    </row>
    <row r="112" spans="2:18" x14ac:dyDescent="0.25">
      <c r="B112" s="115" t="s">
        <v>335</v>
      </c>
      <c r="E112" s="210" t="s">
        <v>432</v>
      </c>
      <c r="F112" s="156">
        <v>17.2</v>
      </c>
      <c r="H112" s="115" t="s">
        <v>96</v>
      </c>
      <c r="K112" s="178" t="s">
        <v>368</v>
      </c>
      <c r="L112" s="133">
        <v>2.8</v>
      </c>
      <c r="N112" s="115" t="str">
        <f t="shared" si="0"/>
        <v/>
      </c>
      <c r="P112" s="95"/>
      <c r="Q112" s="156" t="str">
        <f t="shared" si="1"/>
        <v/>
      </c>
      <c r="R112" s="156" t="str">
        <f t="shared" si="2"/>
        <v/>
      </c>
    </row>
    <row r="113" spans="2:18" x14ac:dyDescent="0.25">
      <c r="B113" s="115" t="s">
        <v>336</v>
      </c>
      <c r="E113" s="133" t="s">
        <v>371</v>
      </c>
      <c r="F113" s="156">
        <v>12.9</v>
      </c>
      <c r="H113" s="115" t="s">
        <v>97</v>
      </c>
      <c r="K113" s="178" t="s">
        <v>105</v>
      </c>
      <c r="L113" s="133" t="s">
        <v>158</v>
      </c>
      <c r="N113" s="115" t="str">
        <f t="shared" si="0"/>
        <v/>
      </c>
      <c r="P113" s="95"/>
      <c r="Q113" s="156" t="str">
        <f t="shared" si="1"/>
        <v/>
      </c>
      <c r="R113" s="156" t="str">
        <f t="shared" si="2"/>
        <v/>
      </c>
    </row>
    <row r="114" spans="2:18" x14ac:dyDescent="0.25">
      <c r="B114" s="166" t="s">
        <v>337</v>
      </c>
      <c r="E114" s="133" t="s">
        <v>372</v>
      </c>
      <c r="F114" s="156">
        <v>0.6</v>
      </c>
      <c r="H114" s="115" t="s">
        <v>98</v>
      </c>
      <c r="K114" s="178" t="s">
        <v>368</v>
      </c>
      <c r="L114" s="133">
        <v>2.8</v>
      </c>
      <c r="N114" s="115" t="str">
        <f t="shared" si="0"/>
        <v/>
      </c>
      <c r="P114" s="95"/>
      <c r="Q114" s="156" t="str">
        <f t="shared" si="1"/>
        <v/>
      </c>
      <c r="R114" s="156" t="str">
        <f t="shared" si="2"/>
        <v/>
      </c>
    </row>
    <row r="115" spans="2:18" x14ac:dyDescent="0.25">
      <c r="B115" s="166" t="s">
        <v>338</v>
      </c>
      <c r="E115" s="210" t="s">
        <v>431</v>
      </c>
      <c r="F115" s="156">
        <v>28</v>
      </c>
      <c r="H115" s="166" t="s">
        <v>99</v>
      </c>
      <c r="K115" s="178" t="s">
        <v>368</v>
      </c>
      <c r="L115" s="133">
        <v>2.8</v>
      </c>
      <c r="N115" s="115" t="str">
        <f t="shared" si="0"/>
        <v/>
      </c>
      <c r="P115" s="95"/>
      <c r="Q115" s="156" t="str">
        <f t="shared" si="1"/>
        <v/>
      </c>
      <c r="R115" s="156" t="str">
        <f t="shared" si="2"/>
        <v/>
      </c>
    </row>
    <row r="116" spans="2:18" x14ac:dyDescent="0.25">
      <c r="B116" s="166" t="s">
        <v>339</v>
      </c>
      <c r="E116" s="210" t="s">
        <v>432</v>
      </c>
      <c r="F116" s="156">
        <v>17.2</v>
      </c>
      <c r="H116" s="115" t="s">
        <v>106</v>
      </c>
      <c r="K116" s="178" t="s">
        <v>105</v>
      </c>
      <c r="L116" s="155" t="s">
        <v>158</v>
      </c>
      <c r="N116" s="115" t="str">
        <f t="shared" si="0"/>
        <v/>
      </c>
      <c r="P116" s="95"/>
      <c r="Q116" s="156" t="str">
        <f t="shared" si="1"/>
        <v/>
      </c>
      <c r="R116" s="156" t="str">
        <f t="shared" si="2"/>
        <v/>
      </c>
    </row>
    <row r="117" spans="2:18" x14ac:dyDescent="0.25">
      <c r="B117" s="115" t="s">
        <v>144</v>
      </c>
      <c r="E117" s="133" t="s">
        <v>194</v>
      </c>
      <c r="F117" s="156">
        <v>1.7</v>
      </c>
      <c r="H117" s="115" t="s">
        <v>158</v>
      </c>
      <c r="K117" s="178" t="s">
        <v>158</v>
      </c>
      <c r="L117" s="155" t="s">
        <v>158</v>
      </c>
      <c r="N117" s="115" t="str">
        <f t="shared" si="0"/>
        <v/>
      </c>
      <c r="P117" s="95"/>
      <c r="Q117" s="156" t="str">
        <f t="shared" si="1"/>
        <v/>
      </c>
      <c r="R117" s="156" t="str">
        <f t="shared" si="2"/>
        <v/>
      </c>
    </row>
    <row r="118" spans="2:18" x14ac:dyDescent="0.25">
      <c r="B118" s="115" t="s">
        <v>340</v>
      </c>
      <c r="E118" s="210" t="s">
        <v>431</v>
      </c>
      <c r="F118" s="156">
        <v>0.3</v>
      </c>
      <c r="H118" s="115" t="s">
        <v>158</v>
      </c>
      <c r="K118" s="115" t="s">
        <v>158</v>
      </c>
      <c r="L118" s="155" t="s">
        <v>158</v>
      </c>
      <c r="N118" s="115" t="str">
        <f t="shared" si="0"/>
        <v/>
      </c>
      <c r="P118" s="95"/>
      <c r="Q118" s="156" t="str">
        <f t="shared" si="1"/>
        <v/>
      </c>
      <c r="R118" s="156" t="str">
        <f t="shared" si="2"/>
        <v/>
      </c>
    </row>
    <row r="119" spans="2:18" x14ac:dyDescent="0.25">
      <c r="B119" s="115" t="s">
        <v>341</v>
      </c>
      <c r="E119" s="210" t="s">
        <v>432</v>
      </c>
      <c r="F119" s="156">
        <v>4.3</v>
      </c>
      <c r="H119" s="115" t="s">
        <v>158</v>
      </c>
      <c r="K119" s="115" t="s">
        <v>158</v>
      </c>
      <c r="L119" s="155" t="s">
        <v>158</v>
      </c>
      <c r="N119" s="115" t="str">
        <f t="shared" si="0"/>
        <v/>
      </c>
      <c r="P119" s="95"/>
      <c r="Q119" s="156" t="str">
        <f t="shared" si="1"/>
        <v/>
      </c>
      <c r="R119" s="156" t="str">
        <f t="shared" si="2"/>
        <v/>
      </c>
    </row>
    <row r="120" spans="2:18" x14ac:dyDescent="0.25">
      <c r="B120" s="115" t="s">
        <v>342</v>
      </c>
      <c r="E120" s="133" t="s">
        <v>373</v>
      </c>
      <c r="F120" s="156">
        <v>5.6</v>
      </c>
      <c r="H120" s="115" t="s">
        <v>158</v>
      </c>
      <c r="K120" s="115" t="s">
        <v>158</v>
      </c>
      <c r="L120" s="155" t="s">
        <v>158</v>
      </c>
      <c r="N120" s="115" t="str">
        <f t="shared" si="0"/>
        <v/>
      </c>
      <c r="P120" s="95"/>
      <c r="Q120" s="156" t="str">
        <f t="shared" si="1"/>
        <v/>
      </c>
      <c r="R120" s="156" t="str">
        <f t="shared" si="2"/>
        <v/>
      </c>
    </row>
    <row r="121" spans="2:18" x14ac:dyDescent="0.25">
      <c r="B121" s="115" t="s">
        <v>126</v>
      </c>
      <c r="E121" s="210" t="s">
        <v>432</v>
      </c>
      <c r="F121" s="156">
        <v>17.2</v>
      </c>
      <c r="H121" s="115" t="s">
        <v>158</v>
      </c>
      <c r="K121" s="115" t="s">
        <v>158</v>
      </c>
      <c r="L121" s="155" t="s">
        <v>158</v>
      </c>
      <c r="N121" s="115" t="str">
        <f t="shared" si="0"/>
        <v/>
      </c>
      <c r="P121" s="95"/>
      <c r="Q121" s="156" t="str">
        <f t="shared" si="1"/>
        <v/>
      </c>
      <c r="R121" s="156" t="str">
        <f t="shared" si="2"/>
        <v/>
      </c>
    </row>
    <row r="122" spans="2:18" x14ac:dyDescent="0.25">
      <c r="B122" s="115" t="s">
        <v>129</v>
      </c>
      <c r="E122" s="133" t="s">
        <v>264</v>
      </c>
      <c r="F122" s="156">
        <v>1.1000000000000001</v>
      </c>
      <c r="H122" s="115" t="s">
        <v>158</v>
      </c>
      <c r="K122" s="115" t="s">
        <v>158</v>
      </c>
      <c r="L122" s="155" t="s">
        <v>158</v>
      </c>
      <c r="N122" s="115" t="str">
        <f t="shared" si="0"/>
        <v/>
      </c>
      <c r="P122" s="95"/>
      <c r="Q122" s="156" t="str">
        <f t="shared" si="1"/>
        <v/>
      </c>
      <c r="R122" s="156" t="str">
        <f t="shared" si="2"/>
        <v/>
      </c>
    </row>
    <row r="123" spans="2:18" x14ac:dyDescent="0.25">
      <c r="B123" s="115" t="s">
        <v>343</v>
      </c>
      <c r="E123" s="133" t="s">
        <v>130</v>
      </c>
      <c r="F123" s="156">
        <v>1.4</v>
      </c>
      <c r="H123" s="115" t="s">
        <v>158</v>
      </c>
      <c r="K123" s="115" t="s">
        <v>158</v>
      </c>
      <c r="L123" s="155" t="s">
        <v>158</v>
      </c>
      <c r="N123" s="115" t="str">
        <f t="shared" si="0"/>
        <v/>
      </c>
      <c r="P123" s="95"/>
      <c r="Q123" s="156" t="str">
        <f t="shared" si="1"/>
        <v/>
      </c>
      <c r="R123" s="156" t="str">
        <f t="shared" si="2"/>
        <v/>
      </c>
    </row>
    <row r="124" spans="2:18" x14ac:dyDescent="0.25">
      <c r="B124" s="166" t="s">
        <v>344</v>
      </c>
      <c r="E124" s="133" t="s">
        <v>130</v>
      </c>
      <c r="F124" s="156">
        <v>1.8</v>
      </c>
      <c r="H124" s="115" t="s">
        <v>158</v>
      </c>
      <c r="K124" s="115" t="s">
        <v>158</v>
      </c>
      <c r="L124" s="155" t="s">
        <v>158</v>
      </c>
      <c r="N124" s="115" t="str">
        <f t="shared" si="0"/>
        <v/>
      </c>
      <c r="P124" s="95"/>
      <c r="Q124" s="156" t="str">
        <f t="shared" si="1"/>
        <v/>
      </c>
      <c r="R124" s="156" t="str">
        <f t="shared" si="2"/>
        <v/>
      </c>
    </row>
    <row r="125" spans="2:18" x14ac:dyDescent="0.25">
      <c r="B125" s="115" t="s">
        <v>120</v>
      </c>
      <c r="E125" s="210" t="s">
        <v>431</v>
      </c>
      <c r="F125" s="156">
        <v>3.5</v>
      </c>
      <c r="H125" s="115" t="s">
        <v>158</v>
      </c>
      <c r="K125" s="115" t="s">
        <v>158</v>
      </c>
      <c r="L125" s="155" t="s">
        <v>158</v>
      </c>
      <c r="N125" s="115" t="str">
        <f t="shared" si="0"/>
        <v/>
      </c>
      <c r="P125" s="95"/>
      <c r="Q125" s="156" t="str">
        <f t="shared" si="1"/>
        <v/>
      </c>
      <c r="R125" s="156" t="str">
        <f t="shared" si="2"/>
        <v/>
      </c>
    </row>
    <row r="126" spans="2:18" x14ac:dyDescent="0.25">
      <c r="B126" s="115" t="s">
        <v>345</v>
      </c>
      <c r="E126" s="133" t="s">
        <v>371</v>
      </c>
      <c r="F126" s="156">
        <v>14</v>
      </c>
      <c r="H126" s="115" t="s">
        <v>158</v>
      </c>
      <c r="K126" s="115" t="s">
        <v>158</v>
      </c>
      <c r="L126" s="155" t="s">
        <v>158</v>
      </c>
      <c r="N126" s="115" t="str">
        <f t="shared" si="0"/>
        <v/>
      </c>
      <c r="P126" s="95"/>
      <c r="Q126" s="156" t="str">
        <f t="shared" si="1"/>
        <v/>
      </c>
      <c r="R126" s="156" t="str">
        <f t="shared" si="2"/>
        <v/>
      </c>
    </row>
    <row r="127" spans="2:18" x14ac:dyDescent="0.25">
      <c r="B127" s="166" t="s">
        <v>346</v>
      </c>
      <c r="E127" s="133" t="s">
        <v>374</v>
      </c>
      <c r="F127" s="156">
        <v>12.9</v>
      </c>
      <c r="H127" s="115" t="s">
        <v>158</v>
      </c>
      <c r="K127" s="115" t="s">
        <v>158</v>
      </c>
      <c r="L127" s="155" t="s">
        <v>158</v>
      </c>
      <c r="N127" s="115" t="str">
        <f t="shared" si="0"/>
        <v/>
      </c>
      <c r="P127" s="95"/>
      <c r="Q127" s="156" t="str">
        <f t="shared" si="1"/>
        <v/>
      </c>
      <c r="R127" s="156" t="str">
        <f t="shared" si="2"/>
        <v/>
      </c>
    </row>
    <row r="128" spans="2:18" x14ac:dyDescent="0.25">
      <c r="B128" s="166" t="s">
        <v>347</v>
      </c>
      <c r="E128" s="210" t="s">
        <v>432</v>
      </c>
      <c r="F128" s="156">
        <v>3.2</v>
      </c>
      <c r="H128" s="115" t="s">
        <v>158</v>
      </c>
      <c r="K128" s="115" t="s">
        <v>158</v>
      </c>
      <c r="L128" s="155" t="s">
        <v>158</v>
      </c>
      <c r="N128" s="115" t="str">
        <f t="shared" si="0"/>
        <v/>
      </c>
      <c r="P128" s="95"/>
      <c r="Q128" s="156" t="str">
        <f t="shared" si="1"/>
        <v/>
      </c>
      <c r="R128" s="156" t="str">
        <f t="shared" si="2"/>
        <v/>
      </c>
    </row>
    <row r="129" spans="2:18" x14ac:dyDescent="0.25">
      <c r="B129" s="166" t="s">
        <v>348</v>
      </c>
      <c r="E129" s="133" t="s">
        <v>375</v>
      </c>
      <c r="F129" s="156">
        <v>3.2</v>
      </c>
      <c r="H129" s="115" t="s">
        <v>158</v>
      </c>
      <c r="K129" s="115" t="s">
        <v>158</v>
      </c>
      <c r="L129" s="155" t="s">
        <v>158</v>
      </c>
      <c r="N129" s="115" t="str">
        <f t="shared" si="0"/>
        <v/>
      </c>
      <c r="P129" s="95"/>
      <c r="Q129" s="156" t="str">
        <f t="shared" si="1"/>
        <v/>
      </c>
      <c r="R129" s="156" t="str">
        <f t="shared" si="2"/>
        <v/>
      </c>
    </row>
    <row r="130" spans="2:18" x14ac:dyDescent="0.25">
      <c r="B130" s="166" t="s">
        <v>349</v>
      </c>
      <c r="E130" s="210" t="s">
        <v>432</v>
      </c>
      <c r="F130" s="156">
        <v>17.2</v>
      </c>
      <c r="H130" s="115" t="s">
        <v>158</v>
      </c>
      <c r="K130" s="115" t="s">
        <v>158</v>
      </c>
      <c r="L130" s="155" t="s">
        <v>158</v>
      </c>
      <c r="N130" s="115" t="str">
        <f t="shared" si="0"/>
        <v/>
      </c>
      <c r="P130" s="95"/>
      <c r="Q130" s="156" t="str">
        <f t="shared" si="1"/>
        <v/>
      </c>
      <c r="R130" s="156" t="str">
        <f t="shared" si="2"/>
        <v/>
      </c>
    </row>
    <row r="131" spans="2:18" x14ac:dyDescent="0.25">
      <c r="B131" s="115" t="s">
        <v>142</v>
      </c>
      <c r="E131" s="210" t="s">
        <v>432</v>
      </c>
      <c r="F131" s="156">
        <v>1.6</v>
      </c>
      <c r="H131" s="115" t="s">
        <v>158</v>
      </c>
      <c r="K131" s="115" t="s">
        <v>158</v>
      </c>
      <c r="L131" s="155" t="s">
        <v>158</v>
      </c>
      <c r="N131" s="115" t="str">
        <f t="shared" si="0"/>
        <v/>
      </c>
      <c r="P131" s="95"/>
      <c r="Q131" s="156" t="str">
        <f t="shared" si="1"/>
        <v/>
      </c>
      <c r="R131" s="156" t="str">
        <f t="shared" si="2"/>
        <v/>
      </c>
    </row>
    <row r="132" spans="2:18" x14ac:dyDescent="0.25">
      <c r="B132" s="115" t="s">
        <v>121</v>
      </c>
      <c r="E132" s="210" t="s">
        <v>431</v>
      </c>
      <c r="F132" s="156">
        <v>18.7</v>
      </c>
      <c r="H132" s="115" t="s">
        <v>158</v>
      </c>
      <c r="K132" s="115" t="s">
        <v>158</v>
      </c>
      <c r="L132" s="155" t="s">
        <v>158</v>
      </c>
      <c r="N132" s="115" t="str">
        <f t="shared" si="0"/>
        <v/>
      </c>
      <c r="P132" s="95"/>
      <c r="Q132" s="156" t="str">
        <f t="shared" si="1"/>
        <v/>
      </c>
      <c r="R132" s="156" t="str">
        <f t="shared" si="2"/>
        <v/>
      </c>
    </row>
    <row r="133" spans="2:18" x14ac:dyDescent="0.25">
      <c r="B133" s="115" t="s">
        <v>350</v>
      </c>
      <c r="E133" s="133" t="s">
        <v>130</v>
      </c>
      <c r="F133" s="156">
        <v>0.9</v>
      </c>
      <c r="H133" s="115" t="s">
        <v>158</v>
      </c>
      <c r="K133" s="115" t="s">
        <v>158</v>
      </c>
      <c r="L133" s="155" t="s">
        <v>158</v>
      </c>
      <c r="N133" s="115" t="str">
        <f t="shared" si="0"/>
        <v/>
      </c>
      <c r="P133" s="95"/>
      <c r="Q133" s="156" t="str">
        <f t="shared" si="1"/>
        <v/>
      </c>
      <c r="R133" s="156" t="str">
        <f t="shared" si="2"/>
        <v/>
      </c>
    </row>
    <row r="134" spans="2:18" x14ac:dyDescent="0.25">
      <c r="B134" s="166" t="s">
        <v>351</v>
      </c>
      <c r="E134" s="133" t="s">
        <v>194</v>
      </c>
      <c r="F134" s="156">
        <v>0.2</v>
      </c>
      <c r="H134" s="115" t="s">
        <v>158</v>
      </c>
      <c r="K134" s="115" t="s">
        <v>158</v>
      </c>
      <c r="L134" s="155" t="s">
        <v>158</v>
      </c>
      <c r="N134" s="115" t="str">
        <f t="shared" si="0"/>
        <v/>
      </c>
      <c r="P134" s="95"/>
      <c r="Q134" s="156" t="str">
        <f t="shared" si="1"/>
        <v/>
      </c>
      <c r="R134" s="156" t="str">
        <f t="shared" si="2"/>
        <v/>
      </c>
    </row>
    <row r="135" spans="2:18" x14ac:dyDescent="0.25">
      <c r="B135" s="166" t="s">
        <v>352</v>
      </c>
      <c r="E135" s="133" t="s">
        <v>376</v>
      </c>
      <c r="F135" s="156">
        <v>0.4</v>
      </c>
      <c r="H135" s="115" t="s">
        <v>158</v>
      </c>
      <c r="K135" s="115" t="s">
        <v>158</v>
      </c>
      <c r="L135" s="155" t="s">
        <v>158</v>
      </c>
      <c r="N135" s="115" t="str">
        <f t="shared" si="0"/>
        <v/>
      </c>
      <c r="P135" s="95"/>
      <c r="Q135" s="156" t="str">
        <f t="shared" si="1"/>
        <v/>
      </c>
      <c r="R135" s="156" t="str">
        <f t="shared" si="2"/>
        <v/>
      </c>
    </row>
    <row r="136" spans="2:18" x14ac:dyDescent="0.25">
      <c r="B136" s="115" t="s">
        <v>353</v>
      </c>
      <c r="E136" s="210" t="s">
        <v>432</v>
      </c>
      <c r="F136" s="156">
        <v>1.7</v>
      </c>
      <c r="H136" s="115" t="s">
        <v>158</v>
      </c>
      <c r="K136" s="115" t="s">
        <v>158</v>
      </c>
      <c r="L136" s="155" t="s">
        <v>158</v>
      </c>
      <c r="N136" s="115" t="str">
        <f t="shared" si="0"/>
        <v/>
      </c>
      <c r="P136" s="95"/>
      <c r="Q136" s="156" t="str">
        <f t="shared" si="1"/>
        <v/>
      </c>
      <c r="R136" s="156" t="str">
        <f t="shared" si="2"/>
        <v/>
      </c>
    </row>
    <row r="137" spans="2:18" x14ac:dyDescent="0.25">
      <c r="B137" s="166" t="s">
        <v>354</v>
      </c>
      <c r="E137" s="210" t="s">
        <v>432</v>
      </c>
      <c r="F137" s="156">
        <v>6.9</v>
      </c>
      <c r="H137" s="115" t="s">
        <v>158</v>
      </c>
      <c r="K137" s="115" t="s">
        <v>158</v>
      </c>
      <c r="L137" s="155" t="s">
        <v>158</v>
      </c>
      <c r="N137" s="115" t="str">
        <f t="shared" si="0"/>
        <v/>
      </c>
      <c r="P137" s="95"/>
      <c r="Q137" s="156" t="str">
        <f t="shared" si="1"/>
        <v/>
      </c>
      <c r="R137" s="156" t="str">
        <f t="shared" si="2"/>
        <v/>
      </c>
    </row>
    <row r="138" spans="2:18" x14ac:dyDescent="0.25">
      <c r="B138" s="115" t="s">
        <v>137</v>
      </c>
      <c r="E138" s="210" t="s">
        <v>432</v>
      </c>
      <c r="F138" s="156">
        <v>8.6</v>
      </c>
      <c r="H138" s="115" t="s">
        <v>158</v>
      </c>
      <c r="K138" s="115" t="s">
        <v>158</v>
      </c>
      <c r="L138" s="155" t="s">
        <v>158</v>
      </c>
      <c r="N138" s="115" t="str">
        <f t="shared" si="0"/>
        <v/>
      </c>
      <c r="P138" s="95"/>
      <c r="Q138" s="156" t="str">
        <f t="shared" si="1"/>
        <v/>
      </c>
      <c r="R138" s="156" t="str">
        <f t="shared" si="2"/>
        <v/>
      </c>
    </row>
    <row r="139" spans="2:18" x14ac:dyDescent="0.25">
      <c r="B139" s="166" t="s">
        <v>355</v>
      </c>
      <c r="E139" s="133" t="s">
        <v>377</v>
      </c>
      <c r="F139" s="156">
        <v>3.4</v>
      </c>
      <c r="H139" s="115" t="s">
        <v>158</v>
      </c>
      <c r="K139" s="115" t="s">
        <v>158</v>
      </c>
      <c r="L139" s="155" t="s">
        <v>158</v>
      </c>
      <c r="N139" s="115" t="str">
        <f t="shared" si="0"/>
        <v/>
      </c>
      <c r="P139" s="95"/>
      <c r="Q139" s="156" t="str">
        <f t="shared" si="1"/>
        <v/>
      </c>
      <c r="R139" s="156" t="str">
        <f t="shared" si="2"/>
        <v/>
      </c>
    </row>
    <row r="140" spans="2:18" x14ac:dyDescent="0.25">
      <c r="B140" s="166" t="s">
        <v>356</v>
      </c>
      <c r="E140" s="210" t="s">
        <v>432</v>
      </c>
      <c r="F140" s="156">
        <v>5.2</v>
      </c>
      <c r="H140" s="115" t="s">
        <v>158</v>
      </c>
      <c r="K140" s="115" t="s">
        <v>158</v>
      </c>
      <c r="L140" s="155" t="s">
        <v>158</v>
      </c>
      <c r="N140" s="115" t="str">
        <f t="shared" si="0"/>
        <v/>
      </c>
      <c r="P140" s="95"/>
      <c r="Q140" s="156" t="str">
        <f t="shared" si="1"/>
        <v/>
      </c>
      <c r="R140" s="156" t="str">
        <f t="shared" si="2"/>
        <v/>
      </c>
    </row>
    <row r="141" spans="2:18" x14ac:dyDescent="0.25">
      <c r="B141" s="166" t="s">
        <v>357</v>
      </c>
      <c r="E141" s="210" t="s">
        <v>432</v>
      </c>
      <c r="F141" s="156">
        <v>3.4</v>
      </c>
      <c r="H141" s="115" t="s">
        <v>158</v>
      </c>
      <c r="K141" s="115" t="s">
        <v>158</v>
      </c>
      <c r="L141" s="155" t="s">
        <v>158</v>
      </c>
      <c r="N141" s="115" t="str">
        <f t="shared" si="0"/>
        <v/>
      </c>
      <c r="P141" s="95"/>
      <c r="Q141" s="156" t="str">
        <f t="shared" si="1"/>
        <v/>
      </c>
      <c r="R141" s="156" t="str">
        <f t="shared" si="2"/>
        <v/>
      </c>
    </row>
    <row r="142" spans="2:18" x14ac:dyDescent="0.25">
      <c r="B142" s="121" t="s">
        <v>123</v>
      </c>
      <c r="E142" s="210" t="s">
        <v>432</v>
      </c>
      <c r="F142" s="156">
        <v>17.2</v>
      </c>
      <c r="H142" s="115" t="s">
        <v>158</v>
      </c>
      <c r="K142" s="115" t="s">
        <v>158</v>
      </c>
      <c r="L142" s="155" t="s">
        <v>158</v>
      </c>
      <c r="N142" s="115" t="str">
        <f t="shared" si="0"/>
        <v/>
      </c>
      <c r="P142" s="95"/>
      <c r="Q142" s="156" t="str">
        <f t="shared" si="1"/>
        <v/>
      </c>
      <c r="R142" s="156" t="str">
        <f t="shared" si="2"/>
        <v/>
      </c>
    </row>
    <row r="143" spans="2:18" x14ac:dyDescent="0.25">
      <c r="B143" s="115" t="s">
        <v>358</v>
      </c>
      <c r="E143" s="210" t="s">
        <v>431</v>
      </c>
      <c r="F143" s="156">
        <v>28.6</v>
      </c>
      <c r="H143" s="115" t="s">
        <v>158</v>
      </c>
      <c r="K143" s="115" t="s">
        <v>158</v>
      </c>
      <c r="L143" s="155" t="s">
        <v>158</v>
      </c>
      <c r="N143" s="115" t="str">
        <f t="shared" si="0"/>
        <v/>
      </c>
      <c r="P143" s="95"/>
      <c r="Q143" s="156" t="str">
        <f t="shared" si="1"/>
        <v/>
      </c>
      <c r="R143" s="156" t="str">
        <f t="shared" si="2"/>
        <v/>
      </c>
    </row>
    <row r="144" spans="2:18" x14ac:dyDescent="0.25">
      <c r="B144" s="166" t="s">
        <v>359</v>
      </c>
      <c r="E144" s="210" t="s">
        <v>431</v>
      </c>
      <c r="F144" s="156">
        <v>18.399999999999999</v>
      </c>
      <c r="H144" s="115" t="s">
        <v>158</v>
      </c>
      <c r="K144" s="115" t="s">
        <v>158</v>
      </c>
      <c r="L144" s="155" t="s">
        <v>158</v>
      </c>
      <c r="N144" s="115" t="str">
        <f t="shared" si="0"/>
        <v/>
      </c>
      <c r="P144" s="95"/>
      <c r="Q144" s="156" t="str">
        <f t="shared" si="1"/>
        <v/>
      </c>
      <c r="R144" s="156" t="str">
        <f t="shared" si="2"/>
        <v/>
      </c>
    </row>
    <row r="145" spans="2:18" x14ac:dyDescent="0.25">
      <c r="B145" s="166" t="s">
        <v>360</v>
      </c>
      <c r="E145" s="210" t="s">
        <v>431</v>
      </c>
      <c r="F145" s="156">
        <v>14.9</v>
      </c>
      <c r="H145" s="115" t="s">
        <v>158</v>
      </c>
      <c r="K145" s="115" t="s">
        <v>158</v>
      </c>
      <c r="L145" s="155" t="s">
        <v>158</v>
      </c>
      <c r="N145" s="115" t="str">
        <f t="shared" si="0"/>
        <v/>
      </c>
      <c r="P145" s="95"/>
      <c r="Q145" s="156" t="str">
        <f t="shared" si="1"/>
        <v/>
      </c>
      <c r="R145" s="156" t="str">
        <f t="shared" si="2"/>
        <v/>
      </c>
    </row>
    <row r="146" spans="2:18" x14ac:dyDescent="0.25">
      <c r="B146" s="166" t="s">
        <v>361</v>
      </c>
      <c r="E146" s="210" t="s">
        <v>431</v>
      </c>
      <c r="F146" s="156">
        <v>14</v>
      </c>
      <c r="H146" s="115" t="s">
        <v>158</v>
      </c>
      <c r="K146" s="115" t="s">
        <v>158</v>
      </c>
      <c r="L146" s="155" t="s">
        <v>158</v>
      </c>
      <c r="N146" s="115" t="str">
        <f t="shared" si="0"/>
        <v/>
      </c>
      <c r="P146" s="95"/>
      <c r="Q146" s="156" t="str">
        <f t="shared" si="1"/>
        <v/>
      </c>
      <c r="R146" s="156" t="str">
        <f t="shared" si="2"/>
        <v/>
      </c>
    </row>
    <row r="147" spans="2:18" x14ac:dyDescent="0.25">
      <c r="B147" s="115" t="s">
        <v>362</v>
      </c>
      <c r="E147" s="210" t="s">
        <v>432</v>
      </c>
      <c r="F147" s="156">
        <v>8.6</v>
      </c>
      <c r="H147" s="115" t="s">
        <v>158</v>
      </c>
      <c r="K147" s="115" t="s">
        <v>158</v>
      </c>
      <c r="L147" s="155" t="s">
        <v>158</v>
      </c>
      <c r="N147" s="115" t="str">
        <f t="shared" si="0"/>
        <v/>
      </c>
      <c r="P147" s="95"/>
      <c r="Q147" s="156" t="str">
        <f t="shared" si="1"/>
        <v/>
      </c>
      <c r="R147" s="156" t="str">
        <f t="shared" si="2"/>
        <v/>
      </c>
    </row>
    <row r="148" spans="2:18" x14ac:dyDescent="0.25">
      <c r="B148" s="115" t="s">
        <v>140</v>
      </c>
      <c r="E148" s="210" t="s">
        <v>432</v>
      </c>
      <c r="F148" s="156">
        <v>5.2</v>
      </c>
      <c r="H148" s="115" t="s">
        <v>158</v>
      </c>
      <c r="K148" s="115" t="s">
        <v>158</v>
      </c>
      <c r="L148" s="155" t="s">
        <v>158</v>
      </c>
      <c r="N148" s="115" t="str">
        <f t="shared" si="0"/>
        <v/>
      </c>
      <c r="P148" s="95"/>
      <c r="Q148" s="156" t="str">
        <f t="shared" si="1"/>
        <v/>
      </c>
      <c r="R148" s="156" t="str">
        <f t="shared" si="2"/>
        <v/>
      </c>
    </row>
    <row r="149" spans="2:18" x14ac:dyDescent="0.25">
      <c r="B149" s="115" t="s">
        <v>141</v>
      </c>
      <c r="E149" s="210" t="s">
        <v>432</v>
      </c>
      <c r="F149" s="156">
        <v>2.2000000000000002</v>
      </c>
      <c r="H149" s="115" t="s">
        <v>158</v>
      </c>
      <c r="K149" s="115" t="s">
        <v>158</v>
      </c>
      <c r="L149" s="155" t="s">
        <v>158</v>
      </c>
      <c r="N149" s="115" t="str">
        <f t="shared" si="0"/>
        <v/>
      </c>
      <c r="P149" s="95"/>
      <c r="Q149" s="156" t="str">
        <f t="shared" si="1"/>
        <v/>
      </c>
      <c r="R149" s="156" t="str">
        <f t="shared" si="2"/>
        <v/>
      </c>
    </row>
    <row r="150" spans="2:18" x14ac:dyDescent="0.25">
      <c r="B150" s="115" t="s">
        <v>378</v>
      </c>
      <c r="E150" s="133" t="s">
        <v>379</v>
      </c>
      <c r="F150" s="156">
        <v>0.4</v>
      </c>
      <c r="H150" s="115" t="s">
        <v>158</v>
      </c>
      <c r="K150" s="115" t="s">
        <v>158</v>
      </c>
      <c r="L150" s="155" t="s">
        <v>158</v>
      </c>
      <c r="N150" s="115" t="str">
        <f t="shared" si="0"/>
        <v/>
      </c>
      <c r="P150" s="95"/>
      <c r="Q150" s="156" t="str">
        <f t="shared" si="1"/>
        <v/>
      </c>
      <c r="R150" s="156" t="str">
        <f t="shared" si="2"/>
        <v/>
      </c>
    </row>
    <row r="151" spans="2:18" x14ac:dyDescent="0.25">
      <c r="B151" s="166" t="s">
        <v>380</v>
      </c>
      <c r="E151" s="133" t="s">
        <v>379</v>
      </c>
      <c r="F151" s="156">
        <v>0.6</v>
      </c>
      <c r="H151" s="115" t="s">
        <v>158</v>
      </c>
      <c r="K151" s="115" t="s">
        <v>158</v>
      </c>
      <c r="L151" s="155" t="s">
        <v>158</v>
      </c>
      <c r="N151" s="115" t="str">
        <f t="shared" si="0"/>
        <v/>
      </c>
      <c r="P151" s="95"/>
      <c r="Q151" s="156" t="str">
        <f t="shared" si="1"/>
        <v/>
      </c>
      <c r="R151" s="156" t="str">
        <f t="shared" si="2"/>
        <v/>
      </c>
    </row>
    <row r="152" spans="2:18" x14ac:dyDescent="0.25">
      <c r="B152" s="166" t="s">
        <v>381</v>
      </c>
      <c r="E152" s="133" t="s">
        <v>379</v>
      </c>
      <c r="F152" s="156">
        <v>0.9</v>
      </c>
      <c r="H152" s="115" t="s">
        <v>158</v>
      </c>
      <c r="K152" s="115" t="s">
        <v>158</v>
      </c>
      <c r="L152" s="155" t="s">
        <v>158</v>
      </c>
      <c r="N152" s="115" t="str">
        <f t="shared" si="0"/>
        <v/>
      </c>
      <c r="P152" s="95"/>
      <c r="Q152" s="156" t="str">
        <f t="shared" si="1"/>
        <v/>
      </c>
      <c r="R152" s="156" t="str">
        <f t="shared" si="2"/>
        <v/>
      </c>
    </row>
    <row r="153" spans="2:18" x14ac:dyDescent="0.25">
      <c r="B153" s="166" t="s">
        <v>382</v>
      </c>
      <c r="E153" s="133" t="s">
        <v>379</v>
      </c>
      <c r="F153" s="156">
        <v>0.4</v>
      </c>
      <c r="H153" s="115" t="s">
        <v>158</v>
      </c>
      <c r="K153" s="115" t="s">
        <v>158</v>
      </c>
      <c r="L153" s="155" t="s">
        <v>158</v>
      </c>
      <c r="N153" s="115" t="str">
        <f t="shared" si="0"/>
        <v/>
      </c>
      <c r="P153" s="95"/>
      <c r="Q153" s="156" t="str">
        <f t="shared" si="1"/>
        <v/>
      </c>
      <c r="R153" s="156" t="str">
        <f t="shared" si="2"/>
        <v/>
      </c>
    </row>
    <row r="154" spans="2:18" x14ac:dyDescent="0.25">
      <c r="B154" s="166" t="s">
        <v>383</v>
      </c>
      <c r="E154" s="210" t="s">
        <v>432</v>
      </c>
      <c r="F154" s="156">
        <v>2.2000000000000002</v>
      </c>
      <c r="H154" s="115" t="s">
        <v>158</v>
      </c>
      <c r="K154" s="115" t="s">
        <v>158</v>
      </c>
      <c r="L154" s="155" t="s">
        <v>158</v>
      </c>
      <c r="N154" s="115" t="str">
        <f t="shared" si="0"/>
        <v/>
      </c>
      <c r="P154" s="95"/>
      <c r="Q154" s="156" t="str">
        <f t="shared" si="1"/>
        <v/>
      </c>
      <c r="R154" s="156" t="str">
        <f t="shared" si="2"/>
        <v/>
      </c>
    </row>
    <row r="155" spans="2:18" x14ac:dyDescent="0.25">
      <c r="B155" s="166" t="s">
        <v>384</v>
      </c>
      <c r="E155" s="133" t="s">
        <v>268</v>
      </c>
      <c r="F155" s="156">
        <v>0.4</v>
      </c>
      <c r="H155" s="115" t="s">
        <v>158</v>
      </c>
      <c r="K155" s="115" t="s">
        <v>158</v>
      </c>
      <c r="L155" s="155" t="s">
        <v>158</v>
      </c>
      <c r="N155" s="115" t="str">
        <f t="shared" si="0"/>
        <v/>
      </c>
      <c r="P155" s="95"/>
      <c r="Q155" s="156" t="str">
        <f t="shared" si="1"/>
        <v/>
      </c>
      <c r="R155" s="156" t="str">
        <f t="shared" si="2"/>
        <v/>
      </c>
    </row>
    <row r="156" spans="2:18" x14ac:dyDescent="0.25">
      <c r="B156" s="166" t="s">
        <v>385</v>
      </c>
      <c r="E156" s="133" t="s">
        <v>269</v>
      </c>
      <c r="F156" s="156">
        <v>350</v>
      </c>
      <c r="H156" s="115" t="s">
        <v>158</v>
      </c>
      <c r="K156" s="115" t="s">
        <v>158</v>
      </c>
      <c r="L156" s="155" t="s">
        <v>158</v>
      </c>
      <c r="N156" s="115" t="str">
        <f>+IF($S$7=2,B156,IF($S$7=3,H156,""))</f>
        <v/>
      </c>
      <c r="P156" s="95"/>
      <c r="Q156" s="156" t="str">
        <f t="shared" ref="Q156:R159" si="3">+IF($S$7=2,E156,IF($S$7=3,K156,""))</f>
        <v/>
      </c>
      <c r="R156" s="156" t="str">
        <f t="shared" si="3"/>
        <v/>
      </c>
    </row>
    <row r="157" spans="2:18" x14ac:dyDescent="0.25">
      <c r="B157" s="166" t="s">
        <v>386</v>
      </c>
      <c r="E157" s="210" t="s">
        <v>431</v>
      </c>
      <c r="F157" s="156">
        <v>1.6</v>
      </c>
      <c r="H157" s="115" t="s">
        <v>158</v>
      </c>
      <c r="K157" s="115" t="s">
        <v>158</v>
      </c>
      <c r="L157" s="155" t="s">
        <v>158</v>
      </c>
      <c r="N157" s="115" t="str">
        <f>+IF($S$7=2,B157,IF($S$7=3,H157,""))</f>
        <v/>
      </c>
      <c r="P157" s="95"/>
      <c r="Q157" s="156" t="str">
        <f t="shared" si="3"/>
        <v/>
      </c>
      <c r="R157" s="156" t="str">
        <f t="shared" si="3"/>
        <v/>
      </c>
    </row>
    <row r="158" spans="2:18" x14ac:dyDescent="0.25">
      <c r="B158" s="115" t="s">
        <v>106</v>
      </c>
      <c r="E158" s="133" t="s">
        <v>105</v>
      </c>
      <c r="F158" s="95"/>
      <c r="H158" s="115" t="s">
        <v>158</v>
      </c>
      <c r="K158" s="115" t="s">
        <v>158</v>
      </c>
      <c r="L158" s="155" t="s">
        <v>158</v>
      </c>
      <c r="N158" s="115" t="str">
        <f>+IF($S$7=2,B158,IF($S$7=3,H158,""))</f>
        <v/>
      </c>
      <c r="P158" s="95"/>
      <c r="Q158" s="156" t="str">
        <f t="shared" si="3"/>
        <v/>
      </c>
      <c r="R158" s="156" t="str">
        <f t="shared" si="3"/>
        <v/>
      </c>
    </row>
    <row r="159" spans="2:18" x14ac:dyDescent="0.25">
      <c r="B159" s="116" t="s">
        <v>158</v>
      </c>
      <c r="C159" s="117"/>
      <c r="D159" s="117"/>
      <c r="E159" s="132" t="s">
        <v>158</v>
      </c>
      <c r="F159" s="101" t="s">
        <v>158</v>
      </c>
      <c r="H159" s="116" t="s">
        <v>158</v>
      </c>
      <c r="I159" s="117"/>
      <c r="J159" s="117"/>
      <c r="K159" s="116" t="s">
        <v>158</v>
      </c>
      <c r="L159" s="132" t="s">
        <v>158</v>
      </c>
      <c r="N159" s="116" t="str">
        <f>+IF($S$7=2,B159,IF($S$7=3,H159,""))</f>
        <v/>
      </c>
      <c r="O159" s="117"/>
      <c r="P159" s="101"/>
      <c r="Q159" s="157" t="str">
        <f t="shared" si="3"/>
        <v/>
      </c>
      <c r="R159" s="157" t="str">
        <f t="shared" si="3"/>
        <v/>
      </c>
    </row>
    <row r="172" spans="11:11" x14ac:dyDescent="0.25">
      <c r="K172" s="88"/>
    </row>
    <row r="173" spans="11:11" x14ac:dyDescent="0.25">
      <c r="K173" s="88"/>
    </row>
    <row r="174" spans="11:11" x14ac:dyDescent="0.25">
      <c r="K174" s="88"/>
    </row>
    <row r="175" spans="11:11" x14ac:dyDescent="0.25">
      <c r="K175" s="88"/>
    </row>
    <row r="176" spans="11:11" x14ac:dyDescent="0.25">
      <c r="K176" s="88"/>
    </row>
    <row r="177" spans="10:11" x14ac:dyDescent="0.25">
      <c r="K177" s="88"/>
    </row>
    <row r="178" spans="10:11" x14ac:dyDescent="0.25">
      <c r="K178" s="88"/>
    </row>
    <row r="179" spans="10:11" x14ac:dyDescent="0.25">
      <c r="K179" s="88"/>
    </row>
    <row r="180" spans="10:11" x14ac:dyDescent="0.25">
      <c r="K180" s="88"/>
    </row>
    <row r="181" spans="10:11" x14ac:dyDescent="0.25">
      <c r="J181" s="88"/>
      <c r="K181" s="88"/>
    </row>
    <row r="182" spans="10:11" x14ac:dyDescent="0.25">
      <c r="J182" s="88"/>
      <c r="K182" s="88"/>
    </row>
    <row r="183" spans="10:11" x14ac:dyDescent="0.25">
      <c r="J183" s="88"/>
      <c r="K183" s="88"/>
    </row>
    <row r="184" spans="10:11" x14ac:dyDescent="0.25">
      <c r="J184" s="88"/>
      <c r="K184" s="88"/>
    </row>
    <row r="185" spans="10:11" x14ac:dyDescent="0.25">
      <c r="J185" s="88"/>
      <c r="K185" s="88"/>
    </row>
    <row r="186" spans="10:11" x14ac:dyDescent="0.25">
      <c r="J186" s="88"/>
      <c r="K186" s="88"/>
    </row>
    <row r="187" spans="10:11" x14ac:dyDescent="0.25">
      <c r="J187" s="88"/>
      <c r="K187" s="88"/>
    </row>
    <row r="188" spans="10:11" x14ac:dyDescent="0.25">
      <c r="J188" s="88"/>
      <c r="K188" s="88"/>
    </row>
    <row r="189" spans="10:11" x14ac:dyDescent="0.25">
      <c r="J189" s="88"/>
      <c r="K189" s="88"/>
    </row>
    <row r="190" spans="10:11" x14ac:dyDescent="0.25">
      <c r="J190" s="88"/>
      <c r="K190" s="88"/>
    </row>
    <row r="191" spans="10:11" x14ac:dyDescent="0.25">
      <c r="J191" s="88"/>
      <c r="K191" s="88"/>
    </row>
    <row r="192" spans="10:11" x14ac:dyDescent="0.25">
      <c r="J192" s="88"/>
      <c r="K192" s="88"/>
    </row>
    <row r="193" spans="10:11" x14ac:dyDescent="0.25">
      <c r="J193" s="88"/>
      <c r="K193" s="88"/>
    </row>
    <row r="194" spans="10:11" x14ac:dyDescent="0.25">
      <c r="J194" s="88"/>
      <c r="K194" s="88"/>
    </row>
    <row r="195" spans="10:11" x14ac:dyDescent="0.25">
      <c r="J195" s="88"/>
      <c r="K195" s="88"/>
    </row>
    <row r="196" spans="10:11" x14ac:dyDescent="0.25">
      <c r="J196" s="88"/>
      <c r="K196" s="88"/>
    </row>
    <row r="197" spans="10:11" x14ac:dyDescent="0.25">
      <c r="J197" s="88"/>
      <c r="K197" s="88"/>
    </row>
    <row r="198" spans="10:11" x14ac:dyDescent="0.25">
      <c r="J198" s="88"/>
      <c r="K198" s="88"/>
    </row>
    <row r="199" spans="10:11" x14ac:dyDescent="0.25">
      <c r="J199" s="88"/>
      <c r="K199" s="88"/>
    </row>
    <row r="200" spans="10:11" x14ac:dyDescent="0.25">
      <c r="J200" s="88"/>
      <c r="K200" s="88"/>
    </row>
    <row r="201" spans="10:11" x14ac:dyDescent="0.25">
      <c r="J201" s="88"/>
      <c r="K201" s="88"/>
    </row>
    <row r="202" spans="10:11" x14ac:dyDescent="0.25">
      <c r="J202" s="88"/>
      <c r="K202" s="88"/>
    </row>
  </sheetData>
  <sheetProtection password="CDF4" sheet="1" objects="1" scenarios="1"/>
  <customSheetViews>
    <customSheetView guid="{27B7C317-A4C8-4AFE-A1B4-96A5038E57EE}" scale="75" showGridLines="0" fitToPage="1" hiddenColumns="1" showRuler="0">
      <selection activeCell="G11" sqref="G11"/>
      <pageMargins left="0.75" right="0.75" top="1" bottom="1" header="0.5" footer="0.5"/>
      <pageSetup paperSize="9" scale="84" orientation="landscape" r:id="rId1"/>
      <headerFooter alignWithMargins="0"/>
    </customSheetView>
  </customSheetViews>
  <mergeCells count="24">
    <mergeCell ref="E11:F11"/>
    <mergeCell ref="E12:F12"/>
    <mergeCell ref="E13:F13"/>
    <mergeCell ref="M26:M27"/>
    <mergeCell ref="J26:J27"/>
    <mergeCell ref="H27:I27"/>
    <mergeCell ref="K26:L26"/>
    <mergeCell ref="B26:D27"/>
    <mergeCell ref="F26:I26"/>
    <mergeCell ref="I72:J73"/>
    <mergeCell ref="B73:D74"/>
    <mergeCell ref="G73:H73"/>
    <mergeCell ref="B72:H72"/>
    <mergeCell ref="B62:F62"/>
    <mergeCell ref="E73:F73"/>
    <mergeCell ref="B75:C75"/>
    <mergeCell ref="B85:C85"/>
    <mergeCell ref="N88:R88"/>
    <mergeCell ref="N89:P89"/>
    <mergeCell ref="H88:L88"/>
    <mergeCell ref="H89:J89"/>
    <mergeCell ref="Q89:R89"/>
    <mergeCell ref="B89:D89"/>
    <mergeCell ref="B88:F88"/>
  </mergeCells>
  <phoneticPr fontId="4" type="noConversion"/>
  <pageMargins left="0.74803149606299213" right="0.74803149606299213" top="0.98425196850393704" bottom="0.59055118110236227" header="0.51181102362204722" footer="0.51181102362204722"/>
  <pageSetup paperSize="9" scale="92" orientation="landscape" blackAndWhite="1" r:id="rId2"/>
  <headerFooter alignWithMargins="0"/>
  <ignoredErrors>
    <ignoredError sqref="A7" numberStoredAsText="1"/>
    <ignoredError sqref="M30"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1</xdr:col>
                    <xdr:colOff>7620</xdr:colOff>
                    <xdr:row>10</xdr:row>
                    <xdr:rowOff>22860</xdr:rowOff>
                  </from>
                  <to>
                    <xdr:col>4</xdr:col>
                    <xdr:colOff>7620</xdr:colOff>
                    <xdr:row>11</xdr:row>
                    <xdr:rowOff>30480</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1</xdr:col>
                    <xdr:colOff>7620</xdr:colOff>
                    <xdr:row>11</xdr:row>
                    <xdr:rowOff>22860</xdr:rowOff>
                  </from>
                  <to>
                    <xdr:col>4</xdr:col>
                    <xdr:colOff>0</xdr:colOff>
                    <xdr:row>12</xdr:row>
                    <xdr:rowOff>38100</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1</xdr:col>
                    <xdr:colOff>7620</xdr:colOff>
                    <xdr:row>12</xdr:row>
                    <xdr:rowOff>22860</xdr:rowOff>
                  </from>
                  <to>
                    <xdr:col>4</xdr:col>
                    <xdr:colOff>0</xdr:colOff>
                    <xdr:row>13</xdr:row>
                    <xdr:rowOff>30480</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1</xdr:col>
                    <xdr:colOff>7620</xdr:colOff>
                    <xdr:row>18</xdr:row>
                    <xdr:rowOff>7620</xdr:rowOff>
                  </from>
                  <to>
                    <xdr:col>4</xdr:col>
                    <xdr:colOff>7620</xdr:colOff>
                    <xdr:row>19</xdr:row>
                    <xdr:rowOff>22860</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1</xdr:col>
                    <xdr:colOff>7620</xdr:colOff>
                    <xdr:row>19</xdr:row>
                    <xdr:rowOff>7620</xdr:rowOff>
                  </from>
                  <to>
                    <xdr:col>4</xdr:col>
                    <xdr:colOff>7620</xdr:colOff>
                    <xdr:row>20</xdr:row>
                    <xdr:rowOff>22860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1</xdr:col>
                    <xdr:colOff>0</xdr:colOff>
                    <xdr:row>27</xdr:row>
                    <xdr:rowOff>7620</xdr:rowOff>
                  </from>
                  <to>
                    <xdr:col>3</xdr:col>
                    <xdr:colOff>784860</xdr:colOff>
                    <xdr:row>28</xdr:row>
                    <xdr:rowOff>22860</xdr:rowOff>
                  </to>
                </anchor>
              </controlPr>
            </control>
          </mc:Choice>
        </mc:AlternateContent>
        <mc:AlternateContent xmlns:mc="http://schemas.openxmlformats.org/markup-compatibility/2006">
          <mc:Choice Requires="x14">
            <control shapeId="11273" r:id="rId11" name="Drop Down 9">
              <controlPr defaultSize="0" autoLine="0" autoPict="0">
                <anchor moveWithCells="1">
                  <from>
                    <xdr:col>1</xdr:col>
                    <xdr:colOff>7620</xdr:colOff>
                    <xdr:row>20</xdr:row>
                    <xdr:rowOff>7620</xdr:rowOff>
                  </from>
                  <to>
                    <xdr:col>4</xdr:col>
                    <xdr:colOff>0</xdr:colOff>
                    <xdr:row>21</xdr:row>
                    <xdr:rowOff>22860</xdr:rowOff>
                  </to>
                </anchor>
              </controlPr>
            </control>
          </mc:Choice>
        </mc:AlternateContent>
        <mc:AlternateContent xmlns:mc="http://schemas.openxmlformats.org/markup-compatibility/2006">
          <mc:Choice Requires="x14">
            <control shapeId="11275" r:id="rId12" name="Drop Down 11">
              <controlPr defaultSize="0" autoLine="0" autoPict="0">
                <anchor moveWithCells="1">
                  <from>
                    <xdr:col>2</xdr:col>
                    <xdr:colOff>693420</xdr:colOff>
                    <xdr:row>6</xdr:row>
                    <xdr:rowOff>0</xdr:rowOff>
                  </from>
                  <to>
                    <xdr:col>6</xdr:col>
                    <xdr:colOff>342900</xdr:colOff>
                    <xdr:row>7</xdr:row>
                    <xdr:rowOff>45720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160"/>
  <sheetViews>
    <sheetView showGridLines="0" zoomScale="75" workbookViewId="0">
      <selection activeCell="H11" sqref="H11"/>
    </sheetView>
  </sheetViews>
  <sheetFormatPr defaultColWidth="9.109375" defaultRowHeight="13.2" x14ac:dyDescent="0.25"/>
  <cols>
    <col min="1" max="1" width="5.109375" style="61" customWidth="1"/>
    <col min="2" max="2" width="13.109375" style="61" customWidth="1"/>
    <col min="3" max="3" width="11.6640625" style="61" customWidth="1"/>
    <col min="4" max="5" width="9" style="61" customWidth="1"/>
    <col min="6" max="7" width="9.109375" style="61"/>
    <col min="8" max="8" width="11.5546875" style="61" customWidth="1"/>
    <col min="9" max="9" width="10.33203125" style="61" customWidth="1"/>
    <col min="10" max="10" width="9.109375" style="61"/>
    <col min="11" max="11" width="15.33203125" style="61" customWidth="1"/>
    <col min="12" max="17" width="9.109375" style="61"/>
    <col min="18" max="18" width="12.109375" style="61" customWidth="1"/>
    <col min="19" max="19" width="16" style="61" customWidth="1"/>
    <col min="20" max="20" width="11.88671875" style="61" customWidth="1"/>
    <col min="21" max="22" width="9.109375" style="61"/>
    <col min="23" max="23" width="9.109375" style="61" hidden="1" customWidth="1"/>
    <col min="24" max="25" width="9.109375" style="61"/>
    <col min="26" max="26" width="12.109375" style="61" customWidth="1"/>
    <col min="27" max="16384" width="9.109375" style="61"/>
  </cols>
  <sheetData>
    <row r="1" spans="1:23" ht="15.6" x14ac:dyDescent="0.3">
      <c r="A1" s="87" t="s">
        <v>266</v>
      </c>
      <c r="N1" s="149" t="s">
        <v>324</v>
      </c>
    </row>
    <row r="2" spans="1:23" ht="15.6" x14ac:dyDescent="0.3">
      <c r="A2" s="141"/>
      <c r="O2" s="149"/>
    </row>
    <row r="3" spans="1:23" ht="15.6" x14ac:dyDescent="0.3">
      <c r="A3" s="141"/>
      <c r="O3" s="149"/>
    </row>
    <row r="4" spans="1:23" ht="15.6" x14ac:dyDescent="0.3">
      <c r="A4" s="141"/>
      <c r="O4" s="149"/>
    </row>
    <row r="5" spans="1:23" ht="15.6" x14ac:dyDescent="0.3">
      <c r="A5" s="141"/>
      <c r="O5" s="149"/>
    </row>
    <row r="6" spans="1:23" x14ac:dyDescent="0.25">
      <c r="E6" s="88"/>
      <c r="F6" s="88"/>
      <c r="G6" s="88"/>
      <c r="H6" s="88"/>
      <c r="I6" s="88"/>
      <c r="J6" s="88"/>
      <c r="K6" s="88"/>
      <c r="L6" s="88"/>
      <c r="M6" s="88"/>
      <c r="N6" s="88"/>
      <c r="O6" s="88"/>
    </row>
    <row r="7" spans="1:23" ht="15" customHeight="1" x14ac:dyDescent="0.25">
      <c r="A7" s="89" t="s">
        <v>171</v>
      </c>
      <c r="B7" s="90" t="s">
        <v>153</v>
      </c>
      <c r="W7" s="91">
        <v>1</v>
      </c>
    </row>
    <row r="9" spans="1:23" x14ac:dyDescent="0.25">
      <c r="A9" s="89" t="s">
        <v>162</v>
      </c>
      <c r="B9" s="90" t="s">
        <v>160</v>
      </c>
    </row>
    <row r="10" spans="1:23" ht="15.75" customHeight="1" x14ac:dyDescent="0.25">
      <c r="B10" s="540" t="s">
        <v>155</v>
      </c>
      <c r="C10" s="541"/>
      <c r="D10" s="541"/>
      <c r="E10" s="540" t="s">
        <v>101</v>
      </c>
      <c r="F10" s="541"/>
      <c r="G10" s="542"/>
      <c r="H10" s="7" t="s">
        <v>156</v>
      </c>
      <c r="I10" s="7" t="s">
        <v>411</v>
      </c>
      <c r="J10" s="172" t="s">
        <v>422</v>
      </c>
    </row>
    <row r="11" spans="1:23" ht="15.75" customHeight="1" x14ac:dyDescent="0.25">
      <c r="B11" s="12"/>
      <c r="C11" s="13"/>
      <c r="D11" s="13"/>
      <c r="E11" s="588" t="str">
        <f>+IF(W11&gt;1,INDEX($S$72:$S$77,W11),"")</f>
        <v/>
      </c>
      <c r="F11" s="654"/>
      <c r="G11" s="589"/>
      <c r="H11" s="198"/>
      <c r="I11" s="12" t="str">
        <f>+IF(W11&gt;1,INDEX($T$72:$T$77,W11)," ")</f>
        <v xml:space="preserve"> </v>
      </c>
      <c r="J11" s="2" t="str">
        <f>+IF(I11=" ","",H11*I11)</f>
        <v/>
      </c>
      <c r="W11" s="91">
        <v>1</v>
      </c>
    </row>
    <row r="12" spans="1:23" ht="15.75" customHeight="1" x14ac:dyDescent="0.25">
      <c r="B12" s="12"/>
      <c r="C12" s="13"/>
      <c r="D12" s="13"/>
      <c r="E12" s="588" t="str">
        <f>+IF(W12&gt;1,INDEX($S$72:$S$77,W12),"")</f>
        <v/>
      </c>
      <c r="F12" s="654"/>
      <c r="G12" s="589"/>
      <c r="H12" s="198"/>
      <c r="I12" s="12" t="str">
        <f>+IF(W12&gt;1,INDEX($T$72:$T$77,W12)," ")</f>
        <v xml:space="preserve"> </v>
      </c>
      <c r="J12" s="2" t="str">
        <f>+IF(I12=" ","",H12*I12)</f>
        <v/>
      </c>
      <c r="W12" s="91">
        <v>1</v>
      </c>
    </row>
    <row r="13" spans="1:23" ht="15.75" customHeight="1" x14ac:dyDescent="0.25">
      <c r="E13" s="588" t="str">
        <f>+IF(W13&gt;1,INDEX($S$72:$S$77,W13),"")</f>
        <v/>
      </c>
      <c r="F13" s="654"/>
      <c r="G13" s="589"/>
      <c r="H13" s="198"/>
      <c r="I13" s="12" t="str">
        <f>+IF(W13&gt;1,INDEX($T$72:$T$77,W13)," ")</f>
        <v xml:space="preserve"> </v>
      </c>
      <c r="J13" s="2" t="str">
        <f>+IF(I13=" ","",H13*I13)</f>
        <v/>
      </c>
      <c r="W13" s="91">
        <v>1</v>
      </c>
    </row>
    <row r="14" spans="1:23" x14ac:dyDescent="0.25">
      <c r="I14" s="96" t="s">
        <v>159</v>
      </c>
      <c r="J14" s="56">
        <f>SUM(J11:J13)</f>
        <v>0</v>
      </c>
    </row>
    <row r="16" spans="1:23" x14ac:dyDescent="0.25">
      <c r="A16" s="89" t="s">
        <v>163</v>
      </c>
      <c r="B16" s="90" t="s">
        <v>161</v>
      </c>
    </row>
    <row r="17" spans="1:23" x14ac:dyDescent="0.25">
      <c r="B17" s="540" t="s">
        <v>155</v>
      </c>
      <c r="C17" s="541"/>
      <c r="D17" s="541"/>
      <c r="E17" s="540" t="s">
        <v>101</v>
      </c>
      <c r="F17" s="541"/>
      <c r="G17" s="542"/>
      <c r="H17" s="7" t="s">
        <v>156</v>
      </c>
      <c r="I17" s="7" t="s">
        <v>411</v>
      </c>
      <c r="J17" s="172" t="s">
        <v>422</v>
      </c>
    </row>
    <row r="18" spans="1:23" ht="15" customHeight="1" x14ac:dyDescent="0.25">
      <c r="B18" s="12"/>
      <c r="C18" s="13"/>
      <c r="D18" s="13"/>
      <c r="E18" s="588" t="str">
        <f>+IF(W18&gt;1,INDEX($S$72:$S$77,W18),"")</f>
        <v/>
      </c>
      <c r="F18" s="654"/>
      <c r="G18" s="589"/>
      <c r="H18" s="198"/>
      <c r="I18" s="12" t="str">
        <f>+IF(W18&gt;1,INDEX($T$72:$T$77,W18)," ")</f>
        <v xml:space="preserve"> </v>
      </c>
      <c r="J18" s="2" t="str">
        <f>+IF(I18=" ","",H18*I18)</f>
        <v/>
      </c>
      <c r="W18" s="91">
        <v>1</v>
      </c>
    </row>
    <row r="19" spans="1:23" ht="15" customHeight="1" x14ac:dyDescent="0.25">
      <c r="B19" s="12"/>
      <c r="C19" s="13"/>
      <c r="D19" s="13"/>
      <c r="E19" s="588" t="str">
        <f>+IF(W19&gt;1,INDEX($S$72:$S$77,W19),"")</f>
        <v/>
      </c>
      <c r="F19" s="654"/>
      <c r="G19" s="589"/>
      <c r="H19" s="198"/>
      <c r="I19" s="12" t="str">
        <f>+IF(W19&gt;1,INDEX($T$72:$T$77,W19)," ")</f>
        <v xml:space="preserve"> </v>
      </c>
      <c r="J19" s="2" t="str">
        <f>+IF(I19=" ","",H19*I19)</f>
        <v/>
      </c>
      <c r="W19" s="91">
        <v>1</v>
      </c>
    </row>
    <row r="20" spans="1:23" ht="15" customHeight="1" x14ac:dyDescent="0.25">
      <c r="E20" s="588" t="str">
        <f>+IF(W20&gt;1,INDEX($S$72:$S$77,W20),"")</f>
        <v/>
      </c>
      <c r="F20" s="654"/>
      <c r="G20" s="589"/>
      <c r="H20" s="198"/>
      <c r="I20" s="12" t="str">
        <f>+IF(W20&gt;1,INDEX($T$72:$T$77,W20)," ")</f>
        <v xml:space="preserve"> </v>
      </c>
      <c r="J20" s="2" t="str">
        <f>+IF(I20=" ","",H20*I20)</f>
        <v/>
      </c>
      <c r="W20" s="91">
        <v>1</v>
      </c>
    </row>
    <row r="21" spans="1:23" ht="15" customHeight="1" x14ac:dyDescent="0.25">
      <c r="I21" s="96" t="s">
        <v>159</v>
      </c>
      <c r="J21" s="56">
        <f>SUM(J18:J20)</f>
        <v>0</v>
      </c>
      <c r="W21" s="91">
        <v>1</v>
      </c>
    </row>
    <row r="22" spans="1:23" ht="15" customHeight="1" x14ac:dyDescent="0.25">
      <c r="H22" s="96"/>
      <c r="I22" s="150"/>
      <c r="W22" s="91"/>
    </row>
    <row r="23" spans="1:23" x14ac:dyDescent="0.25">
      <c r="A23" s="89" t="s">
        <v>164</v>
      </c>
      <c r="B23" s="90" t="s">
        <v>279</v>
      </c>
    </row>
    <row r="24" spans="1:23" x14ac:dyDescent="0.25">
      <c r="B24" s="547" t="str">
        <f>+IF(W7=1,"Precinct","Location")</f>
        <v>Precinct</v>
      </c>
      <c r="C24" s="610"/>
      <c r="D24" s="610"/>
      <c r="E24" s="540" t="s">
        <v>166</v>
      </c>
      <c r="F24" s="541"/>
      <c r="G24" s="542"/>
      <c r="H24" s="594" t="s">
        <v>276</v>
      </c>
      <c r="I24" s="540" t="s">
        <v>277</v>
      </c>
      <c r="J24" s="542"/>
      <c r="K24" s="594" t="s">
        <v>306</v>
      </c>
    </row>
    <row r="25" spans="1:23" x14ac:dyDescent="0.25">
      <c r="B25" s="605"/>
      <c r="C25" s="611"/>
      <c r="D25" s="611"/>
      <c r="E25" s="7" t="s">
        <v>424</v>
      </c>
      <c r="F25" s="7" t="s">
        <v>149</v>
      </c>
      <c r="G25" s="7" t="s">
        <v>151</v>
      </c>
      <c r="H25" s="595"/>
      <c r="I25" s="7" t="str">
        <f>+E25</f>
        <v>$/EDU</v>
      </c>
      <c r="J25" s="7" t="s">
        <v>149</v>
      </c>
      <c r="K25" s="595"/>
    </row>
    <row r="26" spans="1:23" ht="15" customHeight="1" x14ac:dyDescent="0.25">
      <c r="B26" s="12"/>
      <c r="C26" s="13"/>
      <c r="D26" s="13"/>
      <c r="E26" s="159">
        <f>+INDEX(K63:K65,W26)</f>
        <v>0</v>
      </c>
      <c r="F26" s="55" t="s">
        <v>302</v>
      </c>
      <c r="G26" s="199">
        <v>91.8</v>
      </c>
      <c r="H26" s="200">
        <f>+'June 2009 Summary'!$D$16/G26</f>
        <v>1.0370370370370372</v>
      </c>
      <c r="I26" s="159">
        <f>+E26*H26</f>
        <v>0</v>
      </c>
      <c r="J26" s="55" t="str">
        <f>+'June 2009 Summary'!D14</f>
        <v>Jun '09</v>
      </c>
      <c r="K26" s="159">
        <f>+INDEX(L63:L65,W26)</f>
        <v>0</v>
      </c>
      <c r="W26" s="91">
        <v>1</v>
      </c>
    </row>
    <row r="27" spans="1:23" x14ac:dyDescent="0.25">
      <c r="B27" s="71"/>
      <c r="E27" s="71" t="s">
        <v>308</v>
      </c>
      <c r="H27" s="71"/>
    </row>
    <row r="29" spans="1:23" x14ac:dyDescent="0.25">
      <c r="A29" s="89" t="s">
        <v>165</v>
      </c>
      <c r="B29" s="90" t="s">
        <v>167</v>
      </c>
    </row>
    <row r="30" spans="1:23" x14ac:dyDescent="0.25">
      <c r="B30" s="102" t="s">
        <v>278</v>
      </c>
      <c r="C30" s="143">
        <f>+IF(J14&gt;J21,(J14-J21)*I26,0)</f>
        <v>0</v>
      </c>
      <c r="D30" s="108" t="str">
        <f>+J26</f>
        <v>Jun '09</v>
      </c>
      <c r="E30" s="103" t="str">
        <f>+IF(J21&gt;J14,"No credit in excess of the demand is given","")</f>
        <v/>
      </c>
    </row>
    <row r="32" spans="1:23" x14ac:dyDescent="0.25">
      <c r="B32" s="89"/>
      <c r="C32" s="151"/>
    </row>
    <row r="33" spans="1:5" x14ac:dyDescent="0.25">
      <c r="A33" s="89"/>
    </row>
    <row r="34" spans="1:5" x14ac:dyDescent="0.25">
      <c r="E34" s="99"/>
    </row>
    <row r="51" spans="2:12" x14ac:dyDescent="0.25">
      <c r="C51" s="109"/>
    </row>
    <row r="52" spans="2:12" ht="15" x14ac:dyDescent="0.4">
      <c r="B52" s="111"/>
      <c r="C52" s="152"/>
    </row>
    <row r="53" spans="2:12" x14ac:dyDescent="0.25">
      <c r="B53" s="111"/>
      <c r="C53" s="109"/>
      <c r="E53" s="71"/>
    </row>
    <row r="54" spans="2:12" ht="15" x14ac:dyDescent="0.4">
      <c r="B54" s="111"/>
      <c r="C54" s="152"/>
      <c r="E54" s="108"/>
    </row>
    <row r="55" spans="2:12" x14ac:dyDescent="0.25">
      <c r="C55" s="99"/>
      <c r="E55" s="108"/>
    </row>
    <row r="56" spans="2:12" x14ac:dyDescent="0.25">
      <c r="B56" s="111"/>
      <c r="C56" s="153"/>
    </row>
    <row r="57" spans="2:12" ht="12" customHeight="1" x14ac:dyDescent="0.4">
      <c r="C57" s="154"/>
      <c r="E57" s="108"/>
    </row>
    <row r="60" spans="2:12" x14ac:dyDescent="0.25">
      <c r="B60" s="112" t="s">
        <v>169</v>
      </c>
    </row>
    <row r="61" spans="2:12" x14ac:dyDescent="0.25">
      <c r="H61" s="650" t="s">
        <v>427</v>
      </c>
      <c r="I61" s="651"/>
      <c r="J61" s="651"/>
      <c r="K61" s="651"/>
      <c r="L61" s="652"/>
    </row>
    <row r="62" spans="2:12" x14ac:dyDescent="0.25">
      <c r="B62" s="655" t="s">
        <v>153</v>
      </c>
      <c r="C62" s="656"/>
      <c r="D62" s="656"/>
      <c r="E62" s="657"/>
      <c r="H62" s="650" t="s">
        <v>425</v>
      </c>
      <c r="I62" s="651"/>
      <c r="J62" s="651"/>
      <c r="K62" s="202" t="s">
        <v>424</v>
      </c>
      <c r="L62" s="201" t="s">
        <v>315</v>
      </c>
    </row>
    <row r="63" spans="2:12" x14ac:dyDescent="0.25">
      <c r="B63" s="113" t="s">
        <v>158</v>
      </c>
      <c r="C63" s="114"/>
      <c r="D63" s="114"/>
      <c r="E63" s="93"/>
      <c r="H63" s="113" t="s">
        <v>158</v>
      </c>
      <c r="I63" s="114"/>
      <c r="J63" s="114"/>
      <c r="K63" s="129"/>
      <c r="L63" s="128"/>
    </row>
    <row r="64" spans="2:12" x14ac:dyDescent="0.25">
      <c r="B64" s="115" t="s">
        <v>154</v>
      </c>
      <c r="E64" s="95"/>
      <c r="H64" s="115" t="s">
        <v>426</v>
      </c>
      <c r="K64" s="133">
        <v>400</v>
      </c>
      <c r="L64" s="155" t="s">
        <v>321</v>
      </c>
    </row>
    <row r="65" spans="2:20" x14ac:dyDescent="0.25">
      <c r="B65" s="197" t="s">
        <v>232</v>
      </c>
      <c r="C65" s="117"/>
      <c r="D65" s="117"/>
      <c r="E65" s="101"/>
      <c r="H65" s="123" t="s">
        <v>174</v>
      </c>
      <c r="I65" s="117"/>
      <c r="J65" s="117"/>
      <c r="K65" s="136">
        <v>400</v>
      </c>
      <c r="L65" s="132" t="s">
        <v>322</v>
      </c>
    </row>
    <row r="70" spans="2:20" ht="12.75" customHeight="1" x14ac:dyDescent="0.25">
      <c r="B70" s="620" t="s">
        <v>410</v>
      </c>
      <c r="C70" s="621"/>
      <c r="D70" s="621"/>
      <c r="E70" s="621"/>
      <c r="F70" s="622"/>
      <c r="H70" s="620" t="s">
        <v>327</v>
      </c>
      <c r="I70" s="621"/>
      <c r="J70" s="621"/>
      <c r="K70" s="621"/>
      <c r="L70" s="622"/>
      <c r="P70" s="629" t="s">
        <v>170</v>
      </c>
      <c r="Q70" s="627"/>
      <c r="R70" s="627"/>
      <c r="S70" s="627"/>
      <c r="T70" s="628"/>
    </row>
    <row r="71" spans="2:20" x14ac:dyDescent="0.25">
      <c r="B71" s="639" t="s">
        <v>418</v>
      </c>
      <c r="C71" s="635"/>
      <c r="D71" s="212"/>
      <c r="E71" s="194" t="s">
        <v>101</v>
      </c>
      <c r="F71" s="213" t="s">
        <v>411</v>
      </c>
      <c r="H71" s="634" t="s">
        <v>412</v>
      </c>
      <c r="I71" s="635"/>
      <c r="J71" s="212"/>
      <c r="K71" s="194" t="s">
        <v>101</v>
      </c>
      <c r="L71" s="213" t="s">
        <v>411</v>
      </c>
      <c r="P71" s="195" t="str">
        <f>IF($W$7=2,B71,IF($W$7=3,H71,""))</f>
        <v/>
      </c>
      <c r="Q71" s="214"/>
      <c r="R71" s="193"/>
      <c r="S71" s="191" t="str">
        <f>IF($W$7=2,E71,IF($W$7=3,K71,""))</f>
        <v/>
      </c>
      <c r="T71" s="201" t="str">
        <f>IF($W$7=2,F71,IF($W$7=3,L71,""))</f>
        <v/>
      </c>
    </row>
    <row r="72" spans="2:20" x14ac:dyDescent="0.25">
      <c r="B72" s="113" t="s">
        <v>158</v>
      </c>
      <c r="C72" s="114"/>
      <c r="D72" s="114"/>
      <c r="E72" s="120" t="s">
        <v>158</v>
      </c>
      <c r="F72" s="93" t="s">
        <v>158</v>
      </c>
      <c r="H72" s="113" t="s">
        <v>158</v>
      </c>
      <c r="I72" s="114"/>
      <c r="J72" s="114"/>
      <c r="K72" s="120"/>
      <c r="L72" s="93"/>
      <c r="P72" s="131"/>
      <c r="Q72" s="114"/>
      <c r="R72" s="114"/>
      <c r="S72" s="129"/>
      <c r="T72" s="128"/>
    </row>
    <row r="73" spans="2:20" x14ac:dyDescent="0.25">
      <c r="B73" s="115" t="s">
        <v>417</v>
      </c>
      <c r="E73" s="133" t="s">
        <v>368</v>
      </c>
      <c r="F73" s="156">
        <v>1</v>
      </c>
      <c r="H73" s="115" t="s">
        <v>413</v>
      </c>
      <c r="K73" s="133" t="s">
        <v>416</v>
      </c>
      <c r="L73" s="156">
        <v>1</v>
      </c>
      <c r="P73" s="126" t="str">
        <f>IF($W$7=2,B73,IF($W$7=3,H73,""))</f>
        <v/>
      </c>
      <c r="Q73" s="134"/>
      <c r="R73" s="134"/>
      <c r="S73" s="135" t="str">
        <f t="shared" ref="S73:T77" si="0">IF($W$7=2,E73,IF($W$7=3,K73,""))</f>
        <v/>
      </c>
      <c r="T73" s="127" t="str">
        <f t="shared" si="0"/>
        <v/>
      </c>
    </row>
    <row r="74" spans="2:20" x14ac:dyDescent="0.25">
      <c r="B74" s="115" t="s">
        <v>419</v>
      </c>
      <c r="E74" s="122" t="s">
        <v>368</v>
      </c>
      <c r="F74" s="156">
        <v>1</v>
      </c>
      <c r="H74" s="166" t="s">
        <v>423</v>
      </c>
      <c r="K74" s="210" t="s">
        <v>433</v>
      </c>
      <c r="L74" s="156">
        <v>0.7</v>
      </c>
      <c r="P74" s="126" t="str">
        <f>IF($W$7=2,B74,IF($W$7=3,H74,""))</f>
        <v/>
      </c>
      <c r="Q74" s="134"/>
      <c r="R74" s="134"/>
      <c r="S74" s="135" t="str">
        <f t="shared" si="0"/>
        <v/>
      </c>
      <c r="T74" s="127" t="str">
        <f t="shared" si="0"/>
        <v/>
      </c>
    </row>
    <row r="75" spans="2:20" x14ac:dyDescent="0.25">
      <c r="B75" s="115" t="s">
        <v>420</v>
      </c>
      <c r="E75" s="122" t="s">
        <v>368</v>
      </c>
      <c r="F75" s="156">
        <v>1</v>
      </c>
      <c r="G75" s="61" t="s">
        <v>158</v>
      </c>
      <c r="H75" s="115" t="s">
        <v>414</v>
      </c>
      <c r="K75" s="210" t="s">
        <v>433</v>
      </c>
      <c r="L75" s="156">
        <v>1</v>
      </c>
      <c r="P75" s="126" t="str">
        <f>IF($W$7=2,B75,IF($W$7=3,H75,""))</f>
        <v/>
      </c>
      <c r="Q75" s="134"/>
      <c r="R75" s="134"/>
      <c r="S75" s="135" t="str">
        <f t="shared" si="0"/>
        <v/>
      </c>
      <c r="T75" s="127" t="str">
        <f t="shared" si="0"/>
        <v/>
      </c>
    </row>
    <row r="76" spans="2:20" x14ac:dyDescent="0.25">
      <c r="B76" s="115" t="s">
        <v>421</v>
      </c>
      <c r="E76" s="122" t="s">
        <v>368</v>
      </c>
      <c r="F76" s="156">
        <v>1</v>
      </c>
      <c r="G76" s="61" t="s">
        <v>158</v>
      </c>
      <c r="H76" s="115" t="s">
        <v>415</v>
      </c>
      <c r="K76" s="210" t="s">
        <v>433</v>
      </c>
      <c r="L76" s="156">
        <v>0.9</v>
      </c>
      <c r="P76" s="126" t="str">
        <f>IF($W$7=2,B76,IF($W$7=3,H76,""))</f>
        <v/>
      </c>
      <c r="Q76" s="134"/>
      <c r="R76" s="134"/>
      <c r="S76" s="135" t="str">
        <f t="shared" si="0"/>
        <v/>
      </c>
      <c r="T76" s="127" t="str">
        <f t="shared" si="0"/>
        <v/>
      </c>
    </row>
    <row r="77" spans="2:20" x14ac:dyDescent="0.25">
      <c r="B77" s="116" t="s">
        <v>158</v>
      </c>
      <c r="C77" s="117"/>
      <c r="D77" s="117"/>
      <c r="E77" s="124" t="s">
        <v>158</v>
      </c>
      <c r="F77" s="157" t="s">
        <v>158</v>
      </c>
      <c r="G77" s="61" t="s">
        <v>158</v>
      </c>
      <c r="H77" s="116" t="s">
        <v>158</v>
      </c>
      <c r="I77" s="117"/>
      <c r="J77" s="117"/>
      <c r="K77" s="124" t="s">
        <v>158</v>
      </c>
      <c r="L77" s="157" t="s">
        <v>158</v>
      </c>
      <c r="P77" s="137" t="str">
        <f>IF($W$7=2,B77,IF($W$7=3,H77,""))</f>
        <v/>
      </c>
      <c r="Q77" s="138"/>
      <c r="R77" s="138"/>
      <c r="S77" s="139" t="str">
        <f t="shared" si="0"/>
        <v/>
      </c>
      <c r="T77" s="140" t="str">
        <f t="shared" si="0"/>
        <v/>
      </c>
    </row>
    <row r="98" spans="3:15" x14ac:dyDescent="0.25">
      <c r="O98" s="88"/>
    </row>
    <row r="99" spans="3:15" x14ac:dyDescent="0.25">
      <c r="O99" s="88"/>
    </row>
    <row r="101" spans="3:15" x14ac:dyDescent="0.25">
      <c r="C101" s="61" t="s">
        <v>158</v>
      </c>
      <c r="D101" s="61" t="s">
        <v>158</v>
      </c>
    </row>
    <row r="130" spans="10:15" x14ac:dyDescent="0.25">
      <c r="O130" s="88"/>
    </row>
    <row r="131" spans="10:15" x14ac:dyDescent="0.25">
      <c r="O131" s="88"/>
    </row>
    <row r="132" spans="10:15" x14ac:dyDescent="0.25">
      <c r="O132" s="88"/>
    </row>
    <row r="133" spans="10:15" x14ac:dyDescent="0.25">
      <c r="O133" s="88"/>
    </row>
    <row r="134" spans="10:15" x14ac:dyDescent="0.25">
      <c r="O134" s="88"/>
    </row>
    <row r="135" spans="10:15" x14ac:dyDescent="0.25">
      <c r="O135" s="88"/>
    </row>
    <row r="136" spans="10:15" x14ac:dyDescent="0.25">
      <c r="O136" s="88"/>
    </row>
    <row r="137" spans="10:15" x14ac:dyDescent="0.25">
      <c r="O137" s="88"/>
    </row>
    <row r="138" spans="10:15" x14ac:dyDescent="0.25">
      <c r="O138" s="88"/>
    </row>
    <row r="139" spans="10:15" x14ac:dyDescent="0.25">
      <c r="J139" s="88"/>
      <c r="K139" s="88"/>
      <c r="L139" s="88"/>
      <c r="M139" s="88"/>
      <c r="N139" s="88"/>
      <c r="O139" s="88"/>
    </row>
    <row r="140" spans="10:15" x14ac:dyDescent="0.25">
      <c r="J140" s="88"/>
      <c r="K140" s="88"/>
      <c r="L140" s="88"/>
      <c r="M140" s="88"/>
      <c r="N140" s="88"/>
      <c r="O140" s="88"/>
    </row>
    <row r="141" spans="10:15" x14ac:dyDescent="0.25">
      <c r="J141" s="88"/>
      <c r="K141" s="88"/>
      <c r="L141" s="88"/>
      <c r="M141" s="88"/>
      <c r="N141" s="88"/>
      <c r="O141" s="88"/>
    </row>
    <row r="142" spans="10:15" x14ac:dyDescent="0.25">
      <c r="J142" s="88"/>
      <c r="K142" s="88"/>
      <c r="L142" s="88"/>
      <c r="M142" s="88"/>
      <c r="N142" s="88"/>
      <c r="O142" s="88"/>
    </row>
    <row r="143" spans="10:15" x14ac:dyDescent="0.25">
      <c r="J143" s="88"/>
      <c r="K143" s="88"/>
      <c r="L143" s="88"/>
      <c r="M143" s="88"/>
      <c r="N143" s="88"/>
      <c r="O143" s="88"/>
    </row>
    <row r="144" spans="10:15" x14ac:dyDescent="0.25">
      <c r="J144" s="88"/>
      <c r="K144" s="88"/>
      <c r="L144" s="88"/>
      <c r="M144" s="88"/>
      <c r="N144" s="88"/>
      <c r="O144" s="88"/>
    </row>
    <row r="145" spans="10:15" x14ac:dyDescent="0.25">
      <c r="J145" s="88"/>
      <c r="K145" s="88"/>
      <c r="L145" s="88"/>
      <c r="M145" s="88"/>
      <c r="N145" s="88"/>
      <c r="O145" s="88"/>
    </row>
    <row r="146" spans="10:15" x14ac:dyDescent="0.25">
      <c r="J146" s="88"/>
      <c r="K146" s="88"/>
      <c r="L146" s="88"/>
      <c r="M146" s="88"/>
      <c r="N146" s="88"/>
      <c r="O146" s="88"/>
    </row>
    <row r="147" spans="10:15" x14ac:dyDescent="0.25">
      <c r="J147" s="88"/>
      <c r="K147" s="88"/>
      <c r="L147" s="88"/>
      <c r="M147" s="88"/>
      <c r="N147" s="88"/>
      <c r="O147" s="88"/>
    </row>
    <row r="148" spans="10:15" x14ac:dyDescent="0.25">
      <c r="J148" s="88"/>
      <c r="K148" s="88"/>
      <c r="L148" s="88"/>
      <c r="M148" s="88"/>
      <c r="N148" s="88"/>
      <c r="O148" s="88"/>
    </row>
    <row r="149" spans="10:15" x14ac:dyDescent="0.25">
      <c r="J149" s="88"/>
      <c r="K149" s="88"/>
      <c r="L149" s="88"/>
      <c r="M149" s="88"/>
      <c r="N149" s="88"/>
      <c r="O149" s="88"/>
    </row>
    <row r="150" spans="10:15" x14ac:dyDescent="0.25">
      <c r="J150" s="88"/>
      <c r="K150" s="88"/>
      <c r="L150" s="88"/>
      <c r="M150" s="88"/>
      <c r="N150" s="88"/>
      <c r="O150" s="88"/>
    </row>
    <row r="151" spans="10:15" x14ac:dyDescent="0.25">
      <c r="J151" s="88"/>
      <c r="K151" s="88"/>
      <c r="L151" s="88"/>
      <c r="M151" s="88"/>
      <c r="N151" s="88"/>
      <c r="O151" s="88"/>
    </row>
    <row r="152" spans="10:15" x14ac:dyDescent="0.25">
      <c r="J152" s="88"/>
      <c r="K152" s="88"/>
      <c r="L152" s="88"/>
      <c r="M152" s="88"/>
      <c r="N152" s="88"/>
      <c r="O152" s="88"/>
    </row>
    <row r="153" spans="10:15" x14ac:dyDescent="0.25">
      <c r="J153" s="88"/>
      <c r="K153" s="88"/>
      <c r="L153" s="88"/>
      <c r="M153" s="88"/>
      <c r="N153" s="88"/>
      <c r="O153" s="88"/>
    </row>
    <row r="154" spans="10:15" x14ac:dyDescent="0.25">
      <c r="J154" s="88"/>
      <c r="K154" s="88"/>
      <c r="L154" s="88"/>
      <c r="M154" s="88"/>
      <c r="N154" s="88"/>
      <c r="O154" s="88"/>
    </row>
    <row r="155" spans="10:15" x14ac:dyDescent="0.25">
      <c r="J155" s="88"/>
      <c r="K155" s="88"/>
      <c r="L155" s="88"/>
      <c r="M155" s="88"/>
      <c r="N155" s="88"/>
      <c r="O155" s="88"/>
    </row>
    <row r="156" spans="10:15" x14ac:dyDescent="0.25">
      <c r="J156" s="88"/>
      <c r="K156" s="88"/>
      <c r="L156" s="88"/>
      <c r="M156" s="88"/>
      <c r="N156" s="88"/>
      <c r="O156" s="88"/>
    </row>
    <row r="157" spans="10:15" x14ac:dyDescent="0.25">
      <c r="J157" s="88"/>
      <c r="K157" s="88"/>
      <c r="L157" s="88"/>
      <c r="M157" s="88"/>
      <c r="N157" s="88"/>
      <c r="O157" s="88"/>
    </row>
    <row r="158" spans="10:15" x14ac:dyDescent="0.25">
      <c r="J158" s="88"/>
      <c r="K158" s="88"/>
      <c r="L158" s="88"/>
      <c r="M158" s="88"/>
      <c r="N158" s="88"/>
      <c r="O158" s="88"/>
    </row>
    <row r="159" spans="10:15" x14ac:dyDescent="0.25">
      <c r="J159" s="88"/>
      <c r="K159" s="88"/>
      <c r="L159" s="88"/>
      <c r="M159" s="88"/>
      <c r="N159" s="88"/>
      <c r="O159" s="88"/>
    </row>
    <row r="160" spans="10:15" x14ac:dyDescent="0.25">
      <c r="J160" s="88"/>
      <c r="K160" s="88"/>
      <c r="L160" s="88"/>
      <c r="M160" s="88"/>
      <c r="N160" s="88"/>
      <c r="O160" s="88"/>
    </row>
  </sheetData>
  <sheetProtection password="CDF4" sheet="1"/>
  <customSheetViews>
    <customSheetView guid="{27B7C317-A4C8-4AFE-A1B4-96A5038E57EE}" scale="75" showGridLines="0" fitToPage="1" hiddenColumns="1" showRuler="0">
      <selection activeCell="H11" sqref="H11"/>
      <pageMargins left="0.75" right="0.75" top="1" bottom="1" header="0.5" footer="0.5"/>
      <pageSetup paperSize="9" scale="88" orientation="landscape" r:id="rId1"/>
      <headerFooter alignWithMargins="0"/>
    </customSheetView>
  </customSheetViews>
  <mergeCells count="23">
    <mergeCell ref="H71:I71"/>
    <mergeCell ref="B70:F70"/>
    <mergeCell ref="H70:L70"/>
    <mergeCell ref="B71:C71"/>
    <mergeCell ref="E11:G11"/>
    <mergeCell ref="E12:G12"/>
    <mergeCell ref="E13:G13"/>
    <mergeCell ref="B62:E62"/>
    <mergeCell ref="B24:D25"/>
    <mergeCell ref="I24:J24"/>
    <mergeCell ref="B10:D10"/>
    <mergeCell ref="E10:G10"/>
    <mergeCell ref="H62:J62"/>
    <mergeCell ref="H61:L61"/>
    <mergeCell ref="H24:H25"/>
    <mergeCell ref="K24:K25"/>
    <mergeCell ref="B17:D17"/>
    <mergeCell ref="E24:G24"/>
    <mergeCell ref="P70:T70"/>
    <mergeCell ref="E17:G17"/>
    <mergeCell ref="E18:G18"/>
    <mergeCell ref="E19:G19"/>
    <mergeCell ref="E20:G20"/>
  </mergeCells>
  <phoneticPr fontId="4" type="noConversion"/>
  <pageMargins left="0.74803149606299213" right="0.74803149606299213" top="0.98425196850393704" bottom="0.98425196850393704" header="0.51181102362204722" footer="0.51181102362204722"/>
  <pageSetup paperSize="9" orientation="landscape" blackAndWhite="1" r:id="rId2"/>
  <headerFooter alignWithMargins="0"/>
  <ignoredErrors>
    <ignoredError sqref="A7 A9 A16 A23 A29"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2304" r:id="rId5" name="Drop Down 16">
              <controlPr defaultSize="0" autoLine="0" autoPict="0">
                <anchor moveWithCells="1">
                  <from>
                    <xdr:col>3</xdr:col>
                    <xdr:colOff>0</xdr:colOff>
                    <xdr:row>5</xdr:row>
                    <xdr:rowOff>152400</xdr:rowOff>
                  </from>
                  <to>
                    <xdr:col>6</xdr:col>
                    <xdr:colOff>327660</xdr:colOff>
                    <xdr:row>7</xdr:row>
                    <xdr:rowOff>0</xdr:rowOff>
                  </to>
                </anchor>
              </controlPr>
            </control>
          </mc:Choice>
        </mc:AlternateContent>
        <mc:AlternateContent xmlns:mc="http://schemas.openxmlformats.org/markup-compatibility/2006">
          <mc:Choice Requires="x14">
            <control shapeId="12310" r:id="rId6" name="Drop Down 22">
              <controlPr defaultSize="0" autoLine="0" autoPict="0">
                <anchor moveWithCells="1">
                  <from>
                    <xdr:col>1</xdr:col>
                    <xdr:colOff>0</xdr:colOff>
                    <xdr:row>10</xdr:row>
                    <xdr:rowOff>7620</xdr:rowOff>
                  </from>
                  <to>
                    <xdr:col>4</xdr:col>
                    <xdr:colOff>22860</xdr:colOff>
                    <xdr:row>11</xdr:row>
                    <xdr:rowOff>7620</xdr:rowOff>
                  </to>
                </anchor>
              </controlPr>
            </control>
          </mc:Choice>
        </mc:AlternateContent>
        <mc:AlternateContent xmlns:mc="http://schemas.openxmlformats.org/markup-compatibility/2006">
          <mc:Choice Requires="x14">
            <control shapeId="12311" r:id="rId7" name="Drop Down 23">
              <controlPr defaultSize="0" autoLine="0" autoPict="0">
                <anchor moveWithCells="1">
                  <from>
                    <xdr:col>1</xdr:col>
                    <xdr:colOff>0</xdr:colOff>
                    <xdr:row>11</xdr:row>
                    <xdr:rowOff>0</xdr:rowOff>
                  </from>
                  <to>
                    <xdr:col>4</xdr:col>
                    <xdr:colOff>7620</xdr:colOff>
                    <xdr:row>12</xdr:row>
                    <xdr:rowOff>0</xdr:rowOff>
                  </to>
                </anchor>
              </controlPr>
            </control>
          </mc:Choice>
        </mc:AlternateContent>
        <mc:AlternateContent xmlns:mc="http://schemas.openxmlformats.org/markup-compatibility/2006">
          <mc:Choice Requires="x14">
            <control shapeId="12312" r:id="rId8" name="Drop Down 24">
              <controlPr locked="0" defaultSize="0" autoLine="0" autoPict="0">
                <anchor moveWithCells="1">
                  <from>
                    <xdr:col>0</xdr:col>
                    <xdr:colOff>335280</xdr:colOff>
                    <xdr:row>11</xdr:row>
                    <xdr:rowOff>190500</xdr:rowOff>
                  </from>
                  <to>
                    <xdr:col>4</xdr:col>
                    <xdr:colOff>7620</xdr:colOff>
                    <xdr:row>13</xdr:row>
                    <xdr:rowOff>0</xdr:rowOff>
                  </to>
                </anchor>
              </controlPr>
            </control>
          </mc:Choice>
        </mc:AlternateContent>
        <mc:AlternateContent xmlns:mc="http://schemas.openxmlformats.org/markup-compatibility/2006">
          <mc:Choice Requires="x14">
            <control shapeId="12313" r:id="rId9" name="Drop Down 25">
              <controlPr defaultSize="0" autoLine="0" autoPict="0">
                <anchor moveWithCells="1">
                  <from>
                    <xdr:col>1</xdr:col>
                    <xdr:colOff>0</xdr:colOff>
                    <xdr:row>17</xdr:row>
                    <xdr:rowOff>7620</xdr:rowOff>
                  </from>
                  <to>
                    <xdr:col>4</xdr:col>
                    <xdr:colOff>22860</xdr:colOff>
                    <xdr:row>18</xdr:row>
                    <xdr:rowOff>22860</xdr:rowOff>
                  </to>
                </anchor>
              </controlPr>
            </control>
          </mc:Choice>
        </mc:AlternateContent>
        <mc:AlternateContent xmlns:mc="http://schemas.openxmlformats.org/markup-compatibility/2006">
          <mc:Choice Requires="x14">
            <control shapeId="12314" r:id="rId10" name="Drop Down 26">
              <controlPr defaultSize="0" autoLine="0" autoPict="0">
                <anchor moveWithCells="1">
                  <from>
                    <xdr:col>1</xdr:col>
                    <xdr:colOff>0</xdr:colOff>
                    <xdr:row>18</xdr:row>
                    <xdr:rowOff>0</xdr:rowOff>
                  </from>
                  <to>
                    <xdr:col>4</xdr:col>
                    <xdr:colOff>7620</xdr:colOff>
                    <xdr:row>19</xdr:row>
                    <xdr:rowOff>7620</xdr:rowOff>
                  </to>
                </anchor>
              </controlPr>
            </control>
          </mc:Choice>
        </mc:AlternateContent>
        <mc:AlternateContent xmlns:mc="http://schemas.openxmlformats.org/markup-compatibility/2006">
          <mc:Choice Requires="x14">
            <control shapeId="12315" r:id="rId11" name="Drop Down 27">
              <controlPr defaultSize="0" autoLine="0" autoPict="0">
                <anchor moveWithCells="1">
                  <from>
                    <xdr:col>0</xdr:col>
                    <xdr:colOff>335280</xdr:colOff>
                    <xdr:row>19</xdr:row>
                    <xdr:rowOff>0</xdr:rowOff>
                  </from>
                  <to>
                    <xdr:col>4</xdr:col>
                    <xdr:colOff>7620</xdr:colOff>
                    <xdr:row>20</xdr:row>
                    <xdr:rowOff>22860</xdr:rowOff>
                  </to>
                </anchor>
              </controlPr>
            </control>
          </mc:Choice>
        </mc:AlternateContent>
        <mc:AlternateContent xmlns:mc="http://schemas.openxmlformats.org/markup-compatibility/2006">
          <mc:Choice Requires="x14">
            <control shapeId="12316" r:id="rId12" name="Drop Down 28">
              <controlPr defaultSize="0" autoLine="0" autoPict="0">
                <anchor moveWithCells="1">
                  <from>
                    <xdr:col>1</xdr:col>
                    <xdr:colOff>7620</xdr:colOff>
                    <xdr:row>24</xdr:row>
                    <xdr:rowOff>152400</xdr:rowOff>
                  </from>
                  <to>
                    <xdr:col>4</xdr:col>
                    <xdr:colOff>30480</xdr:colOff>
                    <xdr:row>26</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143"/>
  <sheetViews>
    <sheetView zoomScale="75" workbookViewId="0"/>
  </sheetViews>
  <sheetFormatPr defaultColWidth="9.109375" defaultRowHeight="13.2" x14ac:dyDescent="0.25"/>
  <cols>
    <col min="1" max="1" width="3.109375" style="61" customWidth="1"/>
    <col min="2" max="2" width="2.6640625" style="61" customWidth="1"/>
    <col min="3" max="4" width="11.33203125" style="61" customWidth="1"/>
    <col min="5" max="6" width="9.109375" style="61"/>
    <col min="7" max="7" width="13.109375" style="61" customWidth="1"/>
    <col min="8" max="8" width="0.6640625" style="61" customWidth="1"/>
    <col min="9" max="9" width="10.6640625" style="61" customWidth="1"/>
    <col min="10" max="10" width="52.33203125" style="61" customWidth="1"/>
    <col min="11" max="11" width="10.109375" style="61" customWidth="1"/>
    <col min="12" max="12" width="9" style="61" customWidth="1"/>
    <col min="13" max="13" width="13.109375" style="61" customWidth="1"/>
    <col min="14" max="15" width="9.109375" style="61"/>
    <col min="16" max="16" width="9.109375" style="61" hidden="1" customWidth="1"/>
    <col min="17" max="17" width="9.109375" style="61"/>
    <col min="18" max="18" width="21.6640625" style="61" customWidth="1"/>
    <col min="19" max="16384" width="9.109375" style="61"/>
  </cols>
  <sheetData>
    <row r="1" spans="1:17" ht="34.5" customHeight="1" x14ac:dyDescent="0.25">
      <c r="A1" s="325" t="s">
        <v>665</v>
      </c>
      <c r="B1" s="324"/>
      <c r="C1" s="324"/>
      <c r="D1" s="324"/>
      <c r="E1" s="324"/>
      <c r="F1" s="324"/>
      <c r="G1" s="324"/>
      <c r="H1" s="324"/>
      <c r="I1" s="324"/>
      <c r="P1" s="149"/>
    </row>
    <row r="2" spans="1:17" ht="46.5" customHeight="1" x14ac:dyDescent="0.25">
      <c r="A2" s="294"/>
      <c r="B2" s="297"/>
      <c r="C2" s="297"/>
      <c r="D2" s="297"/>
      <c r="E2" s="297"/>
      <c r="F2" s="297"/>
      <c r="G2" s="297"/>
      <c r="H2" s="297"/>
      <c r="I2" s="297"/>
      <c r="J2" s="297"/>
      <c r="K2" s="297"/>
      <c r="L2" s="297"/>
      <c r="M2" s="297"/>
      <c r="N2" s="297"/>
      <c r="O2" s="297"/>
      <c r="P2" s="297"/>
    </row>
    <row r="3" spans="1:17" ht="26.25" customHeight="1" x14ac:dyDescent="0.25">
      <c r="A3" s="294"/>
      <c r="B3" s="112" t="s">
        <v>66</v>
      </c>
      <c r="C3" s="296"/>
      <c r="D3" s="296"/>
      <c r="E3" s="296"/>
      <c r="F3" s="296"/>
      <c r="G3" s="296"/>
      <c r="H3" s="296"/>
      <c r="I3" s="296"/>
      <c r="J3" s="296"/>
      <c r="K3" s="296"/>
      <c r="L3" s="296"/>
      <c r="M3" s="296"/>
      <c r="N3" s="296"/>
      <c r="O3" s="296"/>
      <c r="P3" s="296"/>
    </row>
    <row r="4" spans="1:17" ht="21" customHeight="1" x14ac:dyDescent="0.25">
      <c r="A4" s="294"/>
      <c r="B4" s="299"/>
      <c r="C4" s="98"/>
      <c r="P4" s="298" t="b">
        <v>0</v>
      </c>
    </row>
    <row r="5" spans="1:17" ht="21" customHeight="1" x14ac:dyDescent="0.25">
      <c r="A5" s="294"/>
      <c r="B5" s="98"/>
      <c r="C5" s="98"/>
      <c r="D5" s="98"/>
      <c r="P5" s="91" t="b">
        <v>0</v>
      </c>
    </row>
    <row r="6" spans="1:17" ht="21" customHeight="1" x14ac:dyDescent="0.25">
      <c r="A6" s="294"/>
      <c r="P6" s="91" t="b">
        <v>0</v>
      </c>
    </row>
    <row r="7" spans="1:17" ht="21" customHeight="1" x14ac:dyDescent="0.25">
      <c r="A7" s="294"/>
      <c r="P7" s="91" t="b">
        <v>0</v>
      </c>
    </row>
    <row r="8" spans="1:17" ht="21" customHeight="1" x14ac:dyDescent="0.25">
      <c r="A8" s="294"/>
      <c r="P8" s="91" t="b">
        <v>0</v>
      </c>
    </row>
    <row r="9" spans="1:17" ht="21" customHeight="1" x14ac:dyDescent="0.25">
      <c r="A9" s="294"/>
      <c r="B9" s="295"/>
      <c r="C9" s="295"/>
      <c r="D9" s="295"/>
      <c r="E9" s="295"/>
      <c r="F9" s="295"/>
      <c r="G9" s="295"/>
      <c r="H9" s="295"/>
      <c r="I9" s="295"/>
      <c r="P9" s="149"/>
    </row>
    <row r="10" spans="1:17" ht="21" customHeight="1" x14ac:dyDescent="0.25">
      <c r="A10" s="294"/>
      <c r="B10" s="295"/>
      <c r="C10" s="295"/>
      <c r="D10" s="295"/>
      <c r="E10" s="295"/>
      <c r="F10" s="295"/>
      <c r="G10" s="295"/>
      <c r="H10" s="295"/>
      <c r="I10" s="295"/>
      <c r="P10" s="149"/>
    </row>
    <row r="11" spans="1:17" ht="21" customHeight="1" x14ac:dyDescent="0.25">
      <c r="A11" s="294"/>
      <c r="B11" s="295"/>
      <c r="C11" s="295"/>
      <c r="D11" s="295"/>
      <c r="E11" s="295"/>
      <c r="F11" s="295"/>
      <c r="G11" s="295"/>
      <c r="H11" s="295"/>
      <c r="I11" s="295"/>
      <c r="P11" s="149"/>
    </row>
    <row r="12" spans="1:17" ht="23.25" customHeight="1" x14ac:dyDescent="0.25">
      <c r="B12" s="112" t="s">
        <v>67</v>
      </c>
      <c r="C12" s="98"/>
      <c r="D12" s="98"/>
      <c r="Q12" s="149"/>
    </row>
    <row r="13" spans="1:17" ht="21" customHeight="1" x14ac:dyDescent="0.25">
      <c r="B13" s="112"/>
      <c r="C13" s="98"/>
      <c r="D13" s="98"/>
      <c r="Q13" s="149"/>
    </row>
    <row r="14" spans="1:17" ht="21" customHeight="1" x14ac:dyDescent="0.25">
      <c r="B14" s="112"/>
      <c r="C14" s="98"/>
      <c r="D14" s="98"/>
      <c r="Q14" s="149"/>
    </row>
    <row r="15" spans="1:17" ht="21" customHeight="1" x14ac:dyDescent="0.3">
      <c r="A15" s="141"/>
      <c r="B15" s="297"/>
      <c r="C15" s="297"/>
      <c r="D15" s="297"/>
      <c r="E15" s="297"/>
      <c r="F15" s="297"/>
      <c r="G15" s="297"/>
      <c r="H15" s="297"/>
      <c r="I15" s="297"/>
      <c r="J15" s="297"/>
      <c r="K15" s="297"/>
      <c r="L15" s="297"/>
      <c r="M15" s="297"/>
      <c r="N15" s="297"/>
      <c r="O15" s="297"/>
      <c r="P15" s="297"/>
      <c r="Q15" s="149"/>
    </row>
    <row r="16" spans="1:17" ht="21" customHeight="1" x14ac:dyDescent="0.3">
      <c r="A16" s="141"/>
      <c r="B16" s="300" t="s">
        <v>68</v>
      </c>
      <c r="D16" s="301"/>
      <c r="Q16" s="149"/>
    </row>
    <row r="17" spans="1:17" ht="21" customHeight="1" x14ac:dyDescent="0.3">
      <c r="A17" s="141"/>
      <c r="B17" s="300"/>
      <c r="D17" s="301"/>
      <c r="P17" s="91" t="b">
        <v>0</v>
      </c>
      <c r="Q17" s="149"/>
    </row>
    <row r="18" spans="1:17" ht="15.6" x14ac:dyDescent="0.3">
      <c r="A18" s="141"/>
      <c r="B18" s="68"/>
      <c r="D18" s="301"/>
      <c r="P18" s="91" t="b">
        <v>0</v>
      </c>
      <c r="Q18" s="149"/>
    </row>
    <row r="19" spans="1:17" ht="15.6" x14ac:dyDescent="0.3">
      <c r="A19" s="141"/>
      <c r="B19" s="68"/>
      <c r="D19" s="301"/>
      <c r="Q19" s="149"/>
    </row>
    <row r="20" spans="1:17" ht="15.6" x14ac:dyDescent="0.3">
      <c r="A20" s="141"/>
      <c r="B20" s="300" t="s">
        <v>69</v>
      </c>
      <c r="C20" s="296"/>
      <c r="D20" s="296"/>
      <c r="E20" s="296"/>
      <c r="F20" s="296"/>
      <c r="G20" s="296"/>
      <c r="H20" s="296"/>
      <c r="J20" s="296"/>
      <c r="K20" s="296"/>
      <c r="L20" s="296"/>
      <c r="M20" s="296"/>
      <c r="N20" s="296"/>
      <c r="O20" s="296"/>
      <c r="P20" s="296"/>
      <c r="Q20" s="149"/>
    </row>
    <row r="21" spans="1:17" ht="15.6" x14ac:dyDescent="0.3">
      <c r="A21" s="141"/>
      <c r="B21" s="300"/>
      <c r="C21" s="296"/>
      <c r="D21" s="296"/>
      <c r="E21" s="296"/>
      <c r="F21" s="296"/>
      <c r="G21" s="296"/>
      <c r="H21" s="296"/>
      <c r="J21" s="296"/>
      <c r="K21" s="296"/>
      <c r="L21" s="296"/>
      <c r="M21" s="296"/>
      <c r="N21" s="296"/>
      <c r="O21" s="296"/>
      <c r="P21" s="296"/>
      <c r="Q21" s="149"/>
    </row>
    <row r="22" spans="1:17" ht="15.6" x14ac:dyDescent="0.3">
      <c r="A22" s="141"/>
      <c r="B22" s="296"/>
      <c r="C22" s="540" t="s">
        <v>534</v>
      </c>
      <c r="D22" s="542"/>
      <c r="E22" s="296"/>
      <c r="F22" s="296"/>
      <c r="G22" s="296"/>
      <c r="H22" s="296"/>
      <c r="J22" s="296"/>
      <c r="K22" s="296"/>
      <c r="L22" s="296"/>
      <c r="M22" s="296"/>
      <c r="N22" s="296"/>
      <c r="O22" s="296"/>
      <c r="P22" s="296"/>
      <c r="Q22" s="149"/>
    </row>
    <row r="23" spans="1:17" ht="15.6" x14ac:dyDescent="0.3">
      <c r="A23" s="141"/>
      <c r="B23" s="296"/>
      <c r="C23" s="285" t="s">
        <v>477</v>
      </c>
      <c r="D23" s="285" t="s">
        <v>73</v>
      </c>
      <c r="E23" s="296"/>
      <c r="F23" s="296"/>
      <c r="G23" s="296"/>
      <c r="H23" s="296"/>
      <c r="J23" s="296"/>
      <c r="K23" s="296"/>
      <c r="L23" s="296"/>
      <c r="M23" s="296"/>
      <c r="N23" s="296"/>
      <c r="O23" s="296"/>
      <c r="P23" s="296"/>
      <c r="Q23" s="149"/>
    </row>
    <row r="24" spans="1:17" ht="21.75" customHeight="1" x14ac:dyDescent="0.3">
      <c r="A24" s="141"/>
      <c r="B24" s="296"/>
      <c r="C24" s="286">
        <f>+IF(P6=FALSE,IF(AND(P17=TRUE,P18=TRUE,P4=TRUE,P5=TRUE,P8=TRUE),0.33,0),IF(AND(P17=TRUE,P18=TRUE,P4=TRUE,P5=TRUE,P6=TRUE,P7=TRUE,P8=TRUE),0.33,0))</f>
        <v>0</v>
      </c>
      <c r="D24" s="287">
        <f>+C24*Roads!C39</f>
        <v>0</v>
      </c>
      <c r="H24" s="296"/>
      <c r="K24" s="296"/>
      <c r="L24" s="296"/>
      <c r="M24" s="296"/>
      <c r="N24" s="296"/>
      <c r="O24" s="296"/>
      <c r="P24" s="296"/>
      <c r="Q24" s="149"/>
    </row>
    <row r="25" spans="1:17" ht="15.6" x14ac:dyDescent="0.3">
      <c r="A25" s="141"/>
      <c r="B25" s="296"/>
      <c r="C25" s="302"/>
      <c r="F25" s="296"/>
      <c r="G25" s="296"/>
      <c r="H25" s="296"/>
      <c r="I25" s="296"/>
      <c r="J25" s="296"/>
      <c r="K25" s="296"/>
      <c r="L25" s="296"/>
      <c r="M25" s="296"/>
      <c r="N25" s="296"/>
      <c r="O25" s="296"/>
      <c r="P25" s="296"/>
      <c r="Q25" s="149"/>
    </row>
    <row r="26" spans="1:17" ht="15.6" x14ac:dyDescent="0.3">
      <c r="A26" s="141"/>
      <c r="B26" s="296"/>
      <c r="C26" s="302"/>
      <c r="D26" s="303"/>
      <c r="E26" s="304"/>
      <c r="F26" s="296"/>
      <c r="G26" s="296"/>
      <c r="H26" s="296"/>
      <c r="I26" s="296"/>
      <c r="J26" s="296"/>
      <c r="K26" s="296"/>
      <c r="L26" s="296"/>
      <c r="M26" s="296"/>
      <c r="N26" s="296"/>
      <c r="O26" s="296"/>
      <c r="P26" s="296"/>
      <c r="Q26" s="149"/>
    </row>
    <row r="27" spans="1:17" ht="15.6" x14ac:dyDescent="0.3">
      <c r="A27" s="141"/>
      <c r="B27" s="112" t="s">
        <v>70</v>
      </c>
      <c r="Q27" s="149"/>
    </row>
    <row r="28" spans="1:17" ht="21" customHeight="1" x14ac:dyDescent="0.3">
      <c r="A28" s="141"/>
      <c r="B28" s="297"/>
      <c r="C28" s="297"/>
      <c r="D28" s="297"/>
      <c r="E28" s="297"/>
      <c r="F28" s="297"/>
      <c r="G28" s="297"/>
      <c r="H28" s="297"/>
      <c r="I28" s="297"/>
      <c r="J28" s="297"/>
      <c r="K28" s="297"/>
      <c r="L28" s="297"/>
      <c r="M28" s="297"/>
      <c r="N28" s="297"/>
      <c r="O28" s="661"/>
      <c r="P28" s="661"/>
      <c r="Q28" s="149"/>
    </row>
    <row r="29" spans="1:17" ht="21" customHeight="1" x14ac:dyDescent="0.3">
      <c r="A29" s="141"/>
      <c r="B29" s="297"/>
      <c r="C29" s="297"/>
      <c r="D29" s="297"/>
      <c r="E29" s="297"/>
      <c r="F29" s="297"/>
      <c r="G29" s="297"/>
      <c r="H29" s="297"/>
      <c r="I29" s="297"/>
      <c r="J29" s="297"/>
      <c r="K29" s="297"/>
      <c r="L29" s="297"/>
      <c r="M29" s="297"/>
      <c r="N29" s="297"/>
      <c r="O29" s="297"/>
      <c r="P29" s="297"/>
      <c r="Q29" s="149"/>
    </row>
    <row r="30" spans="1:17" ht="21" customHeight="1" x14ac:dyDescent="0.3">
      <c r="A30" s="141"/>
      <c r="B30" s="297"/>
      <c r="C30" s="297"/>
      <c r="D30" s="297"/>
      <c r="E30" s="297"/>
      <c r="F30" s="297"/>
      <c r="G30" s="297"/>
      <c r="H30" s="297"/>
      <c r="I30" s="297"/>
      <c r="J30" s="297"/>
      <c r="K30" s="297"/>
      <c r="L30" s="297"/>
      <c r="M30" s="297"/>
      <c r="N30" s="297"/>
      <c r="O30" s="297"/>
      <c r="P30" s="297"/>
      <c r="Q30" s="149"/>
    </row>
    <row r="31" spans="1:17" ht="21" customHeight="1" x14ac:dyDescent="0.3">
      <c r="A31" s="141"/>
      <c r="Q31" s="149"/>
    </row>
    <row r="32" spans="1:17" ht="21" customHeight="1" x14ac:dyDescent="0.25">
      <c r="A32" s="89"/>
      <c r="B32" s="300" t="s">
        <v>71</v>
      </c>
      <c r="D32" s="301"/>
    </row>
    <row r="33" spans="1:16" ht="21" customHeight="1" x14ac:dyDescent="0.25">
      <c r="A33" s="89"/>
      <c r="B33" s="300"/>
      <c r="D33" s="301"/>
      <c r="P33" s="91" t="b">
        <v>0</v>
      </c>
    </row>
    <row r="34" spans="1:16" ht="21" customHeight="1" x14ac:dyDescent="0.25">
      <c r="A34" s="89"/>
      <c r="P34" s="91" t="b">
        <v>0</v>
      </c>
    </row>
    <row r="35" spans="1:16" ht="21" customHeight="1" x14ac:dyDescent="0.25">
      <c r="A35" s="89"/>
      <c r="P35" s="91" t="b">
        <v>0</v>
      </c>
    </row>
    <row r="36" spans="1:16" ht="21" customHeight="1" x14ac:dyDescent="0.25">
      <c r="A36" s="89"/>
    </row>
    <row r="37" spans="1:16" ht="21" customHeight="1" x14ac:dyDescent="0.25">
      <c r="A37" s="89"/>
      <c r="B37" s="300" t="s">
        <v>463</v>
      </c>
    </row>
    <row r="38" spans="1:16" ht="21" customHeight="1" x14ac:dyDescent="0.25">
      <c r="A38" s="89"/>
      <c r="D38" s="184"/>
      <c r="I38" s="184"/>
    </row>
    <row r="39" spans="1:16" ht="39.6" x14ac:dyDescent="0.25">
      <c r="C39" s="668" t="s">
        <v>478</v>
      </c>
      <c r="D39" s="669"/>
      <c r="E39" s="669"/>
      <c r="F39" s="670"/>
      <c r="G39" s="288" t="s">
        <v>74</v>
      </c>
      <c r="I39" s="662" t="s">
        <v>72</v>
      </c>
      <c r="J39" s="663"/>
      <c r="K39" s="664"/>
      <c r="L39" s="288" t="s">
        <v>462</v>
      </c>
      <c r="M39" s="289" t="s">
        <v>75</v>
      </c>
      <c r="N39" s="148"/>
    </row>
    <row r="40" spans="1:16" ht="21" customHeight="1" x14ac:dyDescent="0.25">
      <c r="B40" s="98"/>
      <c r="C40" s="307">
        <f>IF(Roads!$S$7=3,"",INDEX(Roads!$N$90:$N$159,Roads!S11))</f>
        <v>0</v>
      </c>
      <c r="D40" s="13"/>
      <c r="E40" s="13"/>
      <c r="F40" s="14"/>
      <c r="G40" s="308">
        <f>+IF(Roads!$S$7=3,0,IF(Roads!I11="",0,(Roads!I11-Roads!$I$23*Roads!I11/Roads!$I$15)*(Roads!$K$28+Roads!$K$29+Roads!$K$30+Roads!$K$31)))</f>
        <v>0</v>
      </c>
      <c r="L40" s="309">
        <f>+IF($P$6=FALSE,IF(AND($P$33=TRUE,$P$34=TRUE,$P$35=TRUE,$P$4=TRUE,$P$5=TRUE,$P$8=TRUE),INDEX($G$87:$G$121,P40),0),IF(AND($P$33=TRUE,$P$34=TRUE,$P$35=TRUE,$P$4=TRUE,$P$5=TRUE,$P$6=TRUE,$P$7=TRUE,$P$8=TRUE),INDEX($G$87:$G$121,P40),0))</f>
        <v>0</v>
      </c>
      <c r="M40" s="290">
        <f>+G40*L40</f>
        <v>0</v>
      </c>
      <c r="P40" s="91">
        <v>1</v>
      </c>
    </row>
    <row r="41" spans="1:16" ht="21" customHeight="1" x14ac:dyDescent="0.25">
      <c r="B41" s="98"/>
      <c r="C41" s="307">
        <f>IF(Roads!$S$7=3,"",INDEX(Roads!$N$90:$N$159,Roads!S12))</f>
        <v>0</v>
      </c>
      <c r="D41" s="13"/>
      <c r="E41" s="13"/>
      <c r="F41" s="14"/>
      <c r="G41" s="308">
        <f>+IF(Roads!$S$7=3,0,IF(Roads!I12="",0,(Roads!I12-Roads!$I$23*Roads!I12/Roads!$I$15)*(Roads!$K$28+Roads!$K$29+Roads!$K$30+Roads!$K$31)))</f>
        <v>0</v>
      </c>
      <c r="L41" s="309">
        <f>+IF($P$6=FALSE,IF(AND($P$33=TRUE,$P$34=TRUE,$P$35=TRUE,$P$4=TRUE,$P$5=TRUE,$P$8=TRUE),INDEX($G$87:$G$121,P41),0),IF(AND($P$33=TRUE,$P$34=TRUE,$P$35=TRUE,$P$4=TRUE,$P$5=TRUE,$P$6=TRUE,$P$7=TRUE,$P$8=TRUE),INDEX($G$87:$G$121,P41),0))</f>
        <v>0</v>
      </c>
      <c r="M41" s="290">
        <f>+G41*L41</f>
        <v>0</v>
      </c>
      <c r="P41" s="91">
        <v>1</v>
      </c>
    </row>
    <row r="42" spans="1:16" ht="21" customHeight="1" x14ac:dyDescent="0.25">
      <c r="B42" s="98"/>
      <c r="C42" s="307">
        <f>IF(Roads!$S$7=3,"",INDEX(Roads!$N$90:$N$159,Roads!S13))</f>
        <v>0</v>
      </c>
      <c r="D42" s="13"/>
      <c r="E42" s="13"/>
      <c r="F42" s="14"/>
      <c r="G42" s="308">
        <f>+IF(Roads!$S$7=3,0,IF(Roads!I13="",0,(Roads!I13-Roads!$I$23*Roads!I13/Roads!$I$15)*(Roads!$K$28+Roads!$K$29+Roads!$K$30+Roads!$K$31)))</f>
        <v>0</v>
      </c>
      <c r="L42" s="309">
        <f>+IF($P$6=FALSE,IF(AND($P$33=TRUE,$P$34=TRUE,$P$35=TRUE,$P$4=TRUE,$P$5=TRUE,$P$8=TRUE),INDEX($G$87:$G$121,P42),0),IF(AND($P$33=TRUE,$P$34=TRUE,$P$35=TRUE,$P$4=TRUE,$P$5=TRUE,$P$6=TRUE,$P$7=TRUE,$P$8=TRUE),INDEX($G$87:$G$121,P42),0))</f>
        <v>0</v>
      </c>
      <c r="M42" s="290">
        <f>+G42*L42</f>
        <v>0</v>
      </c>
      <c r="P42" s="91">
        <v>1</v>
      </c>
    </row>
    <row r="43" spans="1:16" ht="21" customHeight="1" x14ac:dyDescent="0.25">
      <c r="B43" s="98"/>
      <c r="C43" s="98"/>
      <c r="L43" s="96" t="s">
        <v>537</v>
      </c>
      <c r="M43" s="291">
        <f>SUM(M40:M42)</f>
        <v>0</v>
      </c>
    </row>
    <row r="44" spans="1:16" x14ac:dyDescent="0.25">
      <c r="B44" s="98"/>
      <c r="C44" s="98"/>
    </row>
    <row r="45" spans="1:16" x14ac:dyDescent="0.25">
      <c r="B45" s="98"/>
      <c r="C45" s="98"/>
      <c r="I45" s="305" t="s">
        <v>436</v>
      </c>
    </row>
    <row r="46" spans="1:16" x14ac:dyDescent="0.25">
      <c r="B46" s="98"/>
      <c r="C46" s="98"/>
      <c r="I46" s="306" t="s">
        <v>460</v>
      </c>
    </row>
    <row r="47" spans="1:16" x14ac:dyDescent="0.25">
      <c r="B47" s="98"/>
      <c r="C47" s="98"/>
      <c r="I47" s="306" t="s">
        <v>461</v>
      </c>
    </row>
    <row r="48" spans="1:16" x14ac:dyDescent="0.25">
      <c r="B48" s="98"/>
      <c r="C48" s="98"/>
      <c r="I48" s="306" t="s">
        <v>458</v>
      </c>
    </row>
    <row r="49" spans="2:16" x14ac:dyDescent="0.25">
      <c r="B49" s="98"/>
      <c r="C49" s="98"/>
      <c r="D49" s="306"/>
      <c r="I49" s="306" t="s">
        <v>459</v>
      </c>
    </row>
    <row r="50" spans="2:16" x14ac:dyDescent="0.25">
      <c r="D50" s="296"/>
      <c r="I50" s="306"/>
    </row>
    <row r="51" spans="2:16" x14ac:dyDescent="0.25">
      <c r="B51" s="112" t="s">
        <v>547</v>
      </c>
      <c r="D51" s="296"/>
      <c r="I51" s="306"/>
    </row>
    <row r="52" spans="2:16" ht="21" customHeight="1" x14ac:dyDescent="0.25">
      <c r="B52" s="297"/>
      <c r="C52" s="297"/>
      <c r="D52" s="296"/>
      <c r="I52" s="306"/>
    </row>
    <row r="53" spans="2:16" ht="21" customHeight="1" x14ac:dyDescent="0.25">
      <c r="B53" s="297"/>
      <c r="C53" s="297"/>
      <c r="D53" s="296"/>
      <c r="I53" s="306"/>
    </row>
    <row r="54" spans="2:16" ht="21" customHeight="1" x14ac:dyDescent="0.25">
      <c r="B54" s="297"/>
      <c r="C54" s="297"/>
      <c r="D54" s="296"/>
      <c r="I54" s="306"/>
    </row>
    <row r="55" spans="2:16" ht="21" customHeight="1" x14ac:dyDescent="0.25">
      <c r="B55" s="300" t="s">
        <v>548</v>
      </c>
      <c r="D55" s="296"/>
      <c r="I55" s="306"/>
    </row>
    <row r="56" spans="2:16" ht="21" customHeight="1" x14ac:dyDescent="0.25">
      <c r="D56" s="296"/>
      <c r="I56" s="306"/>
      <c r="P56" s="91" t="b">
        <v>0</v>
      </c>
    </row>
    <row r="57" spans="2:16" ht="21" customHeight="1" x14ac:dyDescent="0.25">
      <c r="D57" s="296"/>
      <c r="I57" s="306"/>
      <c r="P57" s="91" t="b">
        <v>0</v>
      </c>
    </row>
    <row r="58" spans="2:16" ht="21" customHeight="1" x14ac:dyDescent="0.25">
      <c r="D58" s="296"/>
      <c r="I58" s="306"/>
      <c r="P58" s="91" t="b">
        <v>0</v>
      </c>
    </row>
    <row r="59" spans="2:16" ht="21" customHeight="1" x14ac:dyDescent="0.25">
      <c r="B59" s="300" t="s">
        <v>549</v>
      </c>
      <c r="D59" s="296"/>
      <c r="I59" s="306"/>
    </row>
    <row r="60" spans="2:16" ht="21" customHeight="1" x14ac:dyDescent="0.25">
      <c r="B60" s="300"/>
      <c r="D60" s="296"/>
      <c r="I60" s="306"/>
    </row>
    <row r="61" spans="2:16" ht="21" customHeight="1" x14ac:dyDescent="0.25">
      <c r="B61" s="300"/>
      <c r="C61" s="540" t="s">
        <v>550</v>
      </c>
      <c r="D61" s="542"/>
      <c r="I61" s="306"/>
    </row>
    <row r="62" spans="2:16" ht="21" customHeight="1" x14ac:dyDescent="0.25">
      <c r="B62" s="300"/>
      <c r="C62" s="285" t="s">
        <v>477</v>
      </c>
      <c r="D62" s="285" t="s">
        <v>73</v>
      </c>
      <c r="I62" s="306"/>
    </row>
    <row r="63" spans="2:16" ht="21" customHeight="1" x14ac:dyDescent="0.25">
      <c r="C63" s="286">
        <f>+IF(P6=FALSE,IF(AND(P4=TRUE,P5=TRUE,P8=TRUE,P56=TRUE, P57=TRUE,P58=TRUE),0.2,0),IF(AND(P4=TRUE,P5=TRUE,P6=TRUE,P7=TRUE,P8=TRUE,P56=TRUE, P57=TRUE,P58=TRUE),0.2,0))</f>
        <v>0</v>
      </c>
      <c r="D63" s="287">
        <f>+C63*Roads!C39</f>
        <v>0</v>
      </c>
      <c r="I63" s="306"/>
    </row>
    <row r="64" spans="2:16" ht="21" customHeight="1" x14ac:dyDescent="0.25">
      <c r="D64" s="296"/>
      <c r="I64" s="306"/>
    </row>
    <row r="65" spans="2:16" ht="21" customHeight="1" x14ac:dyDescent="0.25">
      <c r="D65" s="296"/>
      <c r="I65" s="306"/>
    </row>
    <row r="66" spans="2:16" x14ac:dyDescent="0.25">
      <c r="B66" s="112" t="s">
        <v>551</v>
      </c>
      <c r="D66" s="98"/>
    </row>
    <row r="67" spans="2:16" x14ac:dyDescent="0.25">
      <c r="B67" s="98"/>
      <c r="C67" s="112"/>
      <c r="D67" s="98"/>
    </row>
    <row r="68" spans="2:16" x14ac:dyDescent="0.25">
      <c r="B68" s="98"/>
      <c r="C68" s="310">
        <f>IF(Roads!$C$39=0,0,$C$72/Roads!$C$39*Roads!C35)</f>
        <v>0</v>
      </c>
      <c r="D68" s="148" t="s">
        <v>392</v>
      </c>
    </row>
    <row r="69" spans="2:16" x14ac:dyDescent="0.25">
      <c r="B69" s="98"/>
      <c r="C69" s="310">
        <f>IF(Roads!$C$39=0,0,$C$72/Roads!$C$39*Roads!C36)</f>
        <v>0</v>
      </c>
      <c r="D69" s="148" t="s">
        <v>393</v>
      </c>
    </row>
    <row r="70" spans="2:16" x14ac:dyDescent="0.25">
      <c r="B70" s="98"/>
      <c r="C70" s="310">
        <f>IF(Roads!$C$39=0,0,$C$72/Roads!$C$39*Roads!C37)</f>
        <v>0</v>
      </c>
      <c r="D70" s="148" t="s">
        <v>394</v>
      </c>
    </row>
    <row r="71" spans="2:16" ht="15" x14ac:dyDescent="0.4">
      <c r="B71" s="98"/>
      <c r="C71" s="311">
        <f>IF(Roads!$C$39=0,0,$C$72/Roads!$C$39*Roads!C38)</f>
        <v>0</v>
      </c>
      <c r="D71" s="148" t="s">
        <v>395</v>
      </c>
    </row>
    <row r="72" spans="2:16" x14ac:dyDescent="0.25">
      <c r="B72" s="98"/>
      <c r="C72" s="312">
        <f>+IF(AND(P18=TRUE,P56=TRUE),MAX(D63,M43),MAX(M43,D24,D63))</f>
        <v>0</v>
      </c>
      <c r="D72" s="148" t="s">
        <v>73</v>
      </c>
    </row>
    <row r="74" spans="2:16" x14ac:dyDescent="0.25">
      <c r="C74" s="61" t="str">
        <f>+IF(AND(P18=TRUE,P56=TRUE),"Waiver 1 and Waiver 3 can not apply for same application - Waiver 3 has been used","")</f>
        <v/>
      </c>
    </row>
    <row r="78" spans="2:16" x14ac:dyDescent="0.25">
      <c r="P78" s="300"/>
    </row>
    <row r="81" spans="2:17" x14ac:dyDescent="0.25">
      <c r="B81" s="98"/>
      <c r="C81" s="98"/>
    </row>
    <row r="82" spans="2:17" x14ac:dyDescent="0.25">
      <c r="B82" s="98"/>
      <c r="C82" s="112" t="s">
        <v>169</v>
      </c>
      <c r="D82" s="98"/>
    </row>
    <row r="83" spans="2:17" x14ac:dyDescent="0.25">
      <c r="B83" s="98"/>
      <c r="C83" s="112"/>
      <c r="D83" s="98"/>
    </row>
    <row r="84" spans="2:17" x14ac:dyDescent="0.25">
      <c r="B84" s="98"/>
      <c r="C84" s="90" t="s">
        <v>541</v>
      </c>
      <c r="D84" s="98"/>
    </row>
    <row r="85" spans="2:17" x14ac:dyDescent="0.25">
      <c r="B85" s="98"/>
      <c r="C85" s="112"/>
      <c r="D85" s="98"/>
      <c r="Q85" s="313"/>
    </row>
    <row r="86" spans="2:17" ht="27" customHeight="1" x14ac:dyDescent="0.25">
      <c r="C86" s="553" t="s">
        <v>478</v>
      </c>
      <c r="D86" s="554"/>
      <c r="E86" s="554"/>
      <c r="F86" s="555"/>
      <c r="G86" s="276" t="s">
        <v>479</v>
      </c>
      <c r="H86" s="553" t="s">
        <v>480</v>
      </c>
      <c r="I86" s="554"/>
      <c r="J86" s="554"/>
      <c r="K86" s="554"/>
      <c r="L86" s="555"/>
    </row>
    <row r="87" spans="2:17" ht="37.5" customHeight="1" x14ac:dyDescent="0.25">
      <c r="C87" s="292"/>
      <c r="D87" s="13"/>
      <c r="E87" s="13"/>
      <c r="F87" s="14"/>
      <c r="G87" s="293"/>
      <c r="H87" s="665"/>
      <c r="I87" s="666"/>
      <c r="J87" s="666"/>
      <c r="K87" s="666"/>
      <c r="L87" s="667"/>
    </row>
    <row r="88" spans="2:17" ht="37.5" customHeight="1" x14ac:dyDescent="0.25">
      <c r="C88" s="292" t="s">
        <v>535</v>
      </c>
      <c r="D88" s="13"/>
      <c r="E88" s="13"/>
      <c r="F88" s="14"/>
      <c r="G88" s="293">
        <v>0.5</v>
      </c>
      <c r="H88" s="658" t="s">
        <v>493</v>
      </c>
      <c r="I88" s="659"/>
      <c r="J88" s="659"/>
      <c r="K88" s="659"/>
      <c r="L88" s="660"/>
    </row>
    <row r="89" spans="2:17" ht="37.5" customHeight="1" x14ac:dyDescent="0.25">
      <c r="C89" s="292" t="s">
        <v>115</v>
      </c>
      <c r="D89" s="13"/>
      <c r="E89" s="13"/>
      <c r="F89" s="14"/>
      <c r="G89" s="293">
        <v>0.5</v>
      </c>
      <c r="H89" s="658" t="s">
        <v>481</v>
      </c>
      <c r="I89" s="659"/>
      <c r="J89" s="659"/>
      <c r="K89" s="659"/>
      <c r="L89" s="660"/>
    </row>
    <row r="90" spans="2:17" ht="37.5" customHeight="1" x14ac:dyDescent="0.25">
      <c r="C90" s="292" t="s">
        <v>532</v>
      </c>
      <c r="D90" s="13"/>
      <c r="E90" s="13"/>
      <c r="F90" s="14"/>
      <c r="G90" s="293">
        <v>0.75</v>
      </c>
      <c r="H90" s="658" t="s">
        <v>533</v>
      </c>
      <c r="I90" s="659"/>
      <c r="J90" s="659"/>
      <c r="K90" s="659"/>
      <c r="L90" s="660"/>
    </row>
    <row r="91" spans="2:17" ht="37.5" customHeight="1" x14ac:dyDescent="0.25">
      <c r="C91" s="292" t="s">
        <v>482</v>
      </c>
      <c r="D91" s="13"/>
      <c r="E91" s="13"/>
      <c r="F91" s="14"/>
      <c r="G91" s="293">
        <v>0.75</v>
      </c>
      <c r="H91" s="658" t="s">
        <v>483</v>
      </c>
      <c r="I91" s="659"/>
      <c r="J91" s="659"/>
      <c r="K91" s="659"/>
      <c r="L91" s="660"/>
    </row>
    <row r="92" spans="2:17" ht="37.5" customHeight="1" x14ac:dyDescent="0.25">
      <c r="C92" s="292" t="s">
        <v>484</v>
      </c>
      <c r="D92" s="13"/>
      <c r="E92" s="13"/>
      <c r="F92" s="14"/>
      <c r="G92" s="293">
        <v>0.5</v>
      </c>
      <c r="H92" s="658" t="s">
        <v>485</v>
      </c>
      <c r="I92" s="659"/>
      <c r="J92" s="659"/>
      <c r="K92" s="659"/>
      <c r="L92" s="660"/>
    </row>
    <row r="93" spans="2:17" ht="37.5" customHeight="1" x14ac:dyDescent="0.25">
      <c r="C93" s="292" t="s">
        <v>490</v>
      </c>
      <c r="D93" s="13"/>
      <c r="E93" s="13"/>
      <c r="F93" s="14"/>
      <c r="G93" s="293">
        <v>0.25</v>
      </c>
      <c r="H93" s="658" t="s">
        <v>492</v>
      </c>
      <c r="I93" s="659"/>
      <c r="J93" s="659"/>
      <c r="K93" s="659"/>
      <c r="L93" s="660"/>
    </row>
    <row r="94" spans="2:17" ht="37.5" customHeight="1" x14ac:dyDescent="0.25">
      <c r="C94" s="292" t="s">
        <v>494</v>
      </c>
      <c r="D94" s="13"/>
      <c r="E94" s="13"/>
      <c r="F94" s="14"/>
      <c r="G94" s="293">
        <v>0.5</v>
      </c>
      <c r="H94" s="658" t="s">
        <v>495</v>
      </c>
      <c r="I94" s="659"/>
      <c r="J94" s="659"/>
      <c r="K94" s="659"/>
      <c r="L94" s="660"/>
    </row>
    <row r="95" spans="2:17" ht="37.5" customHeight="1" x14ac:dyDescent="0.25">
      <c r="C95" s="292" t="s">
        <v>133</v>
      </c>
      <c r="D95" s="13"/>
      <c r="E95" s="13"/>
      <c r="F95" s="14"/>
      <c r="G95" s="293">
        <v>0.75</v>
      </c>
      <c r="H95" s="658" t="s">
        <v>496</v>
      </c>
      <c r="I95" s="659"/>
      <c r="J95" s="659"/>
      <c r="K95" s="659"/>
      <c r="L95" s="660"/>
    </row>
    <row r="96" spans="2:17" ht="37.5" customHeight="1" x14ac:dyDescent="0.25">
      <c r="C96" s="292" t="s">
        <v>143</v>
      </c>
      <c r="D96" s="13"/>
      <c r="E96" s="13"/>
      <c r="F96" s="14"/>
      <c r="G96" s="293">
        <v>0.25</v>
      </c>
      <c r="H96" s="658" t="s">
        <v>499</v>
      </c>
      <c r="I96" s="659"/>
      <c r="J96" s="659"/>
      <c r="K96" s="659"/>
      <c r="L96" s="660"/>
    </row>
    <row r="97" spans="3:12" ht="37.5" customHeight="1" x14ac:dyDescent="0.25">
      <c r="C97" s="292" t="s">
        <v>497</v>
      </c>
      <c r="D97" s="13"/>
      <c r="E97" s="13"/>
      <c r="F97" s="14"/>
      <c r="G97" s="293">
        <v>0.25</v>
      </c>
      <c r="H97" s="658" t="s">
        <v>498</v>
      </c>
      <c r="I97" s="659"/>
      <c r="J97" s="659"/>
      <c r="K97" s="659"/>
      <c r="L97" s="660"/>
    </row>
    <row r="98" spans="3:12" ht="37.5" customHeight="1" x14ac:dyDescent="0.25">
      <c r="C98" s="292" t="s">
        <v>504</v>
      </c>
      <c r="D98" s="13"/>
      <c r="E98" s="13"/>
      <c r="F98" s="14"/>
      <c r="G98" s="293">
        <v>0.5</v>
      </c>
      <c r="H98" s="658" t="s">
        <v>501</v>
      </c>
      <c r="I98" s="659"/>
      <c r="J98" s="659"/>
      <c r="K98" s="659"/>
      <c r="L98" s="660"/>
    </row>
    <row r="99" spans="3:12" ht="37.5" customHeight="1" x14ac:dyDescent="0.25">
      <c r="C99" s="292" t="s">
        <v>491</v>
      </c>
      <c r="D99" s="13"/>
      <c r="E99" s="13"/>
      <c r="F99" s="14"/>
      <c r="G99" s="293">
        <v>0.25</v>
      </c>
      <c r="H99" s="658" t="s">
        <v>492</v>
      </c>
      <c r="I99" s="659"/>
      <c r="J99" s="659"/>
      <c r="K99" s="659"/>
      <c r="L99" s="660"/>
    </row>
    <row r="100" spans="3:12" ht="37.5" customHeight="1" x14ac:dyDescent="0.25">
      <c r="C100" s="292" t="s">
        <v>505</v>
      </c>
      <c r="D100" s="13"/>
      <c r="E100" s="13"/>
      <c r="F100" s="14"/>
      <c r="G100" s="293">
        <v>0.5</v>
      </c>
      <c r="H100" s="658" t="s">
        <v>501</v>
      </c>
      <c r="I100" s="659"/>
      <c r="J100" s="659"/>
      <c r="K100" s="659"/>
      <c r="L100" s="660"/>
    </row>
    <row r="101" spans="3:12" ht="37.5" customHeight="1" x14ac:dyDescent="0.25">
      <c r="C101" s="292" t="s">
        <v>500</v>
      </c>
      <c r="D101" s="13"/>
      <c r="E101" s="13"/>
      <c r="F101" s="14"/>
      <c r="G101" s="293">
        <v>0.5</v>
      </c>
      <c r="H101" s="658" t="s">
        <v>501</v>
      </c>
      <c r="I101" s="659"/>
      <c r="J101" s="659"/>
      <c r="K101" s="659"/>
      <c r="L101" s="660"/>
    </row>
    <row r="102" spans="3:12" ht="37.5" customHeight="1" x14ac:dyDescent="0.25">
      <c r="C102" s="292" t="s">
        <v>502</v>
      </c>
      <c r="D102" s="13"/>
      <c r="E102" s="13"/>
      <c r="F102" s="14"/>
      <c r="G102" s="293">
        <v>0.25</v>
      </c>
      <c r="H102" s="658" t="s">
        <v>503</v>
      </c>
      <c r="I102" s="659"/>
      <c r="J102" s="659"/>
      <c r="K102" s="659"/>
      <c r="L102" s="660"/>
    </row>
    <row r="103" spans="3:12" ht="37.5" customHeight="1" x14ac:dyDescent="0.25">
      <c r="C103" s="292" t="s">
        <v>488</v>
      </c>
      <c r="D103" s="13"/>
      <c r="E103" s="13"/>
      <c r="F103" s="14"/>
      <c r="G103" s="293">
        <v>0.25</v>
      </c>
      <c r="H103" s="658" t="s">
        <v>489</v>
      </c>
      <c r="I103" s="659"/>
      <c r="J103" s="659"/>
      <c r="K103" s="659"/>
      <c r="L103" s="660"/>
    </row>
    <row r="104" spans="3:12" ht="37.5" customHeight="1" x14ac:dyDescent="0.25">
      <c r="C104" s="292" t="s">
        <v>486</v>
      </c>
      <c r="D104" s="13"/>
      <c r="E104" s="13"/>
      <c r="F104" s="14"/>
      <c r="G104" s="293">
        <v>0.5</v>
      </c>
      <c r="H104" s="658" t="s">
        <v>487</v>
      </c>
      <c r="I104" s="659"/>
      <c r="J104" s="659"/>
      <c r="K104" s="659"/>
      <c r="L104" s="660"/>
    </row>
    <row r="105" spans="3:12" ht="37.5" customHeight="1" x14ac:dyDescent="0.25">
      <c r="C105" s="292" t="s">
        <v>512</v>
      </c>
      <c r="D105" s="13"/>
      <c r="E105" s="13"/>
      <c r="F105" s="14"/>
      <c r="G105" s="293">
        <v>0.25</v>
      </c>
      <c r="H105" s="658" t="s">
        <v>514</v>
      </c>
      <c r="I105" s="659"/>
      <c r="J105" s="659"/>
      <c r="K105" s="659"/>
      <c r="L105" s="660"/>
    </row>
    <row r="106" spans="3:12" ht="37.5" customHeight="1" x14ac:dyDescent="0.25">
      <c r="C106" s="292" t="s">
        <v>510</v>
      </c>
      <c r="D106" s="13"/>
      <c r="E106" s="13"/>
      <c r="F106" s="14"/>
      <c r="G106" s="293">
        <v>1</v>
      </c>
      <c r="H106" s="658" t="s">
        <v>511</v>
      </c>
      <c r="I106" s="659"/>
      <c r="J106" s="659"/>
      <c r="K106" s="659"/>
      <c r="L106" s="660"/>
    </row>
    <row r="107" spans="3:12" ht="37.5" customHeight="1" x14ac:dyDescent="0.25">
      <c r="C107" s="292" t="s">
        <v>508</v>
      </c>
      <c r="D107" s="13"/>
      <c r="E107" s="13"/>
      <c r="F107" s="14"/>
      <c r="G107" s="293">
        <v>0.5</v>
      </c>
      <c r="H107" s="658" t="s">
        <v>507</v>
      </c>
      <c r="I107" s="659"/>
      <c r="J107" s="659"/>
      <c r="K107" s="659"/>
      <c r="L107" s="660"/>
    </row>
    <row r="108" spans="3:12" ht="37.5" customHeight="1" x14ac:dyDescent="0.25">
      <c r="C108" s="292" t="s">
        <v>506</v>
      </c>
      <c r="D108" s="13"/>
      <c r="E108" s="13"/>
      <c r="F108" s="14"/>
      <c r="G108" s="293">
        <v>0.5</v>
      </c>
      <c r="H108" s="658" t="s">
        <v>507</v>
      </c>
      <c r="I108" s="659"/>
      <c r="J108" s="659"/>
      <c r="K108" s="659"/>
      <c r="L108" s="660"/>
    </row>
    <row r="109" spans="3:12" ht="37.5" customHeight="1" x14ac:dyDescent="0.25">
      <c r="C109" s="292" t="s">
        <v>509</v>
      </c>
      <c r="D109" s="13"/>
      <c r="E109" s="13"/>
      <c r="F109" s="14"/>
      <c r="G109" s="293">
        <v>0.5</v>
      </c>
      <c r="H109" s="658" t="s">
        <v>507</v>
      </c>
      <c r="I109" s="659"/>
      <c r="J109" s="659"/>
      <c r="K109" s="659"/>
      <c r="L109" s="660"/>
    </row>
    <row r="110" spans="3:12" ht="37.5" customHeight="1" x14ac:dyDescent="0.25">
      <c r="C110" s="292" t="s">
        <v>516</v>
      </c>
      <c r="D110" s="13"/>
      <c r="E110" s="13"/>
      <c r="F110" s="14"/>
      <c r="G110" s="293">
        <v>1</v>
      </c>
      <c r="H110" s="658" t="s">
        <v>517</v>
      </c>
      <c r="I110" s="659"/>
      <c r="J110" s="659"/>
      <c r="K110" s="659"/>
      <c r="L110" s="660"/>
    </row>
    <row r="111" spans="3:12" ht="37.5" customHeight="1" x14ac:dyDescent="0.25">
      <c r="C111" s="292" t="s">
        <v>515</v>
      </c>
      <c r="D111" s="13"/>
      <c r="E111" s="13"/>
      <c r="F111" s="14"/>
      <c r="G111" s="293">
        <v>1</v>
      </c>
      <c r="H111" s="658" t="s">
        <v>517</v>
      </c>
      <c r="I111" s="659"/>
      <c r="J111" s="659"/>
      <c r="K111" s="659"/>
      <c r="L111" s="660"/>
    </row>
    <row r="112" spans="3:12" ht="37.5" customHeight="1" x14ac:dyDescent="0.25">
      <c r="C112" s="292" t="s">
        <v>513</v>
      </c>
      <c r="D112" s="13"/>
      <c r="E112" s="13"/>
      <c r="F112" s="14"/>
      <c r="G112" s="293">
        <v>0.25</v>
      </c>
      <c r="H112" s="658" t="s">
        <v>514</v>
      </c>
      <c r="I112" s="659"/>
      <c r="J112" s="659"/>
      <c r="K112" s="659"/>
      <c r="L112" s="660"/>
    </row>
    <row r="113" spans="2:12" ht="37.5" customHeight="1" x14ac:dyDescent="0.25">
      <c r="C113" s="292" t="s">
        <v>518</v>
      </c>
      <c r="D113" s="13"/>
      <c r="E113" s="13"/>
      <c r="F113" s="14"/>
      <c r="G113" s="293">
        <v>0.5</v>
      </c>
      <c r="H113" s="658" t="s">
        <v>519</v>
      </c>
      <c r="I113" s="659"/>
      <c r="J113" s="659"/>
      <c r="K113" s="659"/>
      <c r="L113" s="660"/>
    </row>
    <row r="114" spans="2:12" ht="37.5" customHeight="1" x14ac:dyDescent="0.25">
      <c r="C114" s="292" t="s">
        <v>520</v>
      </c>
      <c r="D114" s="13"/>
      <c r="E114" s="13"/>
      <c r="F114" s="14"/>
      <c r="G114" s="293">
        <v>0.5</v>
      </c>
      <c r="H114" s="658" t="s">
        <v>522</v>
      </c>
      <c r="I114" s="659"/>
      <c r="J114" s="659"/>
      <c r="K114" s="659"/>
      <c r="L114" s="660"/>
    </row>
    <row r="115" spans="2:12" ht="37.5" customHeight="1" x14ac:dyDescent="0.25">
      <c r="C115" s="292" t="s">
        <v>521</v>
      </c>
      <c r="D115" s="13"/>
      <c r="E115" s="13"/>
      <c r="F115" s="14"/>
      <c r="G115" s="293">
        <v>0.5</v>
      </c>
      <c r="H115" s="658" t="s">
        <v>522</v>
      </c>
      <c r="I115" s="659"/>
      <c r="J115" s="659"/>
      <c r="K115" s="659"/>
      <c r="L115" s="660"/>
    </row>
    <row r="116" spans="2:12" ht="37.5" customHeight="1" x14ac:dyDescent="0.25">
      <c r="C116" s="292" t="s">
        <v>523</v>
      </c>
      <c r="D116" s="13"/>
      <c r="E116" s="13"/>
      <c r="F116" s="14"/>
      <c r="G116" s="293">
        <v>0.25</v>
      </c>
      <c r="H116" s="658" t="s">
        <v>524</v>
      </c>
      <c r="I116" s="659"/>
      <c r="J116" s="659"/>
      <c r="K116" s="659"/>
      <c r="L116" s="660"/>
    </row>
    <row r="117" spans="2:12" ht="37.5" customHeight="1" x14ac:dyDescent="0.25">
      <c r="C117" s="292" t="s">
        <v>525</v>
      </c>
      <c r="D117" s="13"/>
      <c r="E117" s="13"/>
      <c r="F117" s="14"/>
      <c r="G117" s="293">
        <v>0.75</v>
      </c>
      <c r="H117" s="658" t="s">
        <v>526</v>
      </c>
      <c r="I117" s="659"/>
      <c r="J117" s="659"/>
      <c r="K117" s="659"/>
      <c r="L117" s="660"/>
    </row>
    <row r="118" spans="2:12" ht="37.5" customHeight="1" x14ac:dyDescent="0.25">
      <c r="C118" s="292" t="s">
        <v>528</v>
      </c>
      <c r="D118" s="13"/>
      <c r="E118" s="13"/>
      <c r="F118" s="14"/>
      <c r="G118" s="293">
        <v>0.5</v>
      </c>
      <c r="H118" s="658" t="s">
        <v>529</v>
      </c>
      <c r="I118" s="659"/>
      <c r="J118" s="659"/>
      <c r="K118" s="659"/>
      <c r="L118" s="660"/>
    </row>
    <row r="119" spans="2:12" ht="37.5" customHeight="1" x14ac:dyDescent="0.25">
      <c r="C119" s="292" t="s">
        <v>527</v>
      </c>
      <c r="D119" s="13"/>
      <c r="E119" s="13"/>
      <c r="F119" s="14"/>
      <c r="G119" s="293">
        <v>0.5</v>
      </c>
      <c r="H119" s="658" t="s">
        <v>529</v>
      </c>
      <c r="I119" s="659"/>
      <c r="J119" s="659"/>
      <c r="K119" s="659"/>
      <c r="L119" s="660"/>
    </row>
    <row r="120" spans="2:12" ht="37.5" customHeight="1" x14ac:dyDescent="0.25">
      <c r="C120" s="292" t="s">
        <v>530</v>
      </c>
      <c r="D120" s="13"/>
      <c r="E120" s="13"/>
      <c r="F120" s="14"/>
      <c r="G120" s="293">
        <v>0.5</v>
      </c>
      <c r="H120" s="658" t="s">
        <v>531</v>
      </c>
      <c r="I120" s="659"/>
      <c r="J120" s="659"/>
      <c r="K120" s="659"/>
      <c r="L120" s="660"/>
    </row>
    <row r="121" spans="2:12" ht="37.5" customHeight="1" x14ac:dyDescent="0.25">
      <c r="B121" s="98"/>
      <c r="C121" s="292" t="s">
        <v>536</v>
      </c>
      <c r="D121" s="13"/>
      <c r="E121" s="13"/>
      <c r="F121" s="14"/>
      <c r="G121" s="293">
        <v>0</v>
      </c>
      <c r="H121" s="658"/>
      <c r="I121" s="659"/>
      <c r="J121" s="659"/>
      <c r="K121" s="659"/>
      <c r="L121" s="660"/>
    </row>
    <row r="122" spans="2:12" ht="21" customHeight="1" x14ac:dyDescent="0.25"/>
    <row r="123" spans="2:12" ht="21" customHeight="1" x14ac:dyDescent="0.25"/>
    <row r="124" spans="2:12" ht="21" customHeight="1" x14ac:dyDescent="0.25"/>
    <row r="125" spans="2:12" ht="21" customHeight="1" x14ac:dyDescent="0.25">
      <c r="C125" s="90" t="s">
        <v>545</v>
      </c>
    </row>
    <row r="126" spans="2:12" ht="21" customHeight="1" thickBot="1" x14ac:dyDescent="0.3">
      <c r="C126" s="404" t="s">
        <v>542</v>
      </c>
    </row>
    <row r="127" spans="2:12" ht="21" customHeight="1" thickBot="1" x14ac:dyDescent="0.3">
      <c r="C127" s="323" t="s">
        <v>259</v>
      </c>
      <c r="D127" s="319"/>
      <c r="E127" s="322" t="s">
        <v>544</v>
      </c>
    </row>
    <row r="128" spans="2:12" ht="21" customHeight="1" x14ac:dyDescent="0.3">
      <c r="C128" s="315" t="s">
        <v>466</v>
      </c>
      <c r="D128" s="320"/>
      <c r="E128" s="314">
        <v>69.135714285714343</v>
      </c>
      <c r="F128" s="327"/>
    </row>
    <row r="129" spans="3:6" ht="21" customHeight="1" x14ac:dyDescent="0.3">
      <c r="C129" s="315" t="s">
        <v>467</v>
      </c>
      <c r="D129" s="320"/>
      <c r="E129" s="316">
        <v>14.45</v>
      </c>
      <c r="F129" s="327"/>
    </row>
    <row r="130" spans="3:6" ht="21" customHeight="1" x14ac:dyDescent="0.3">
      <c r="C130" s="315" t="s">
        <v>468</v>
      </c>
      <c r="D130" s="320"/>
      <c r="E130" s="316">
        <v>66.7</v>
      </c>
      <c r="F130" s="327"/>
    </row>
    <row r="131" spans="3:6" ht="21" customHeight="1" x14ac:dyDescent="0.3">
      <c r="C131" s="315" t="s">
        <v>469</v>
      </c>
      <c r="D131" s="320"/>
      <c r="E131" s="316">
        <v>51.764285714285506</v>
      </c>
      <c r="F131" s="327"/>
    </row>
    <row r="132" spans="3:6" ht="21" customHeight="1" x14ac:dyDescent="0.3">
      <c r="C132" s="315" t="s">
        <v>470</v>
      </c>
      <c r="D132" s="320"/>
      <c r="E132" s="316">
        <v>59.73571428571428</v>
      </c>
      <c r="F132" s="327"/>
    </row>
    <row r="133" spans="3:6" ht="21" customHeight="1" x14ac:dyDescent="0.3">
      <c r="C133" s="315" t="s">
        <v>471</v>
      </c>
      <c r="D133" s="320"/>
      <c r="E133" s="316">
        <v>96.9</v>
      </c>
      <c r="F133" s="327"/>
    </row>
    <row r="134" spans="3:6" ht="21" customHeight="1" x14ac:dyDescent="0.3">
      <c r="C134" s="315" t="s">
        <v>472</v>
      </c>
      <c r="D134" s="320"/>
      <c r="E134" s="316">
        <v>64.842857142857255</v>
      </c>
      <c r="F134" s="327"/>
    </row>
    <row r="135" spans="3:6" ht="21" customHeight="1" x14ac:dyDescent="0.3">
      <c r="C135" s="315" t="s">
        <v>473</v>
      </c>
      <c r="D135" s="320"/>
      <c r="E135" s="316">
        <v>51.221428571428845</v>
      </c>
      <c r="F135" s="327"/>
    </row>
    <row r="136" spans="3:6" ht="21" customHeight="1" x14ac:dyDescent="0.3">
      <c r="C136" s="315" t="s">
        <v>474</v>
      </c>
      <c r="D136" s="320"/>
      <c r="E136" s="316">
        <v>19.664285714285707</v>
      </c>
      <c r="F136" s="327"/>
    </row>
    <row r="137" spans="3:6" ht="21" customHeight="1" x14ac:dyDescent="0.3">
      <c r="C137" s="315" t="s">
        <v>475</v>
      </c>
      <c r="D137" s="320"/>
      <c r="E137" s="316">
        <v>32.1</v>
      </c>
      <c r="F137" s="327"/>
    </row>
    <row r="138" spans="3:6" ht="21" customHeight="1" x14ac:dyDescent="0.3">
      <c r="C138" s="315" t="s">
        <v>464</v>
      </c>
      <c r="D138" s="320"/>
      <c r="E138" s="316">
        <v>114.9</v>
      </c>
      <c r="F138" s="327"/>
    </row>
    <row r="139" spans="3:6" ht="21" customHeight="1" x14ac:dyDescent="0.3">
      <c r="C139" s="315" t="s">
        <v>465</v>
      </c>
      <c r="D139" s="320"/>
      <c r="E139" s="316">
        <v>23.271428571428551</v>
      </c>
      <c r="F139" s="327"/>
    </row>
    <row r="140" spans="3:6" ht="21" customHeight="1" x14ac:dyDescent="0.3">
      <c r="C140" s="315" t="s">
        <v>476</v>
      </c>
      <c r="D140" s="320"/>
      <c r="E140" s="316">
        <v>15.014285714285727</v>
      </c>
      <c r="F140" s="327"/>
    </row>
    <row r="141" spans="3:6" ht="21" customHeight="1" thickBot="1" x14ac:dyDescent="0.35">
      <c r="C141" s="317"/>
      <c r="D141" s="321"/>
      <c r="E141" s="318"/>
      <c r="F141" s="327"/>
    </row>
    <row r="142" spans="3:6" ht="21" customHeight="1" x14ac:dyDescent="0.25">
      <c r="C142" s="68" t="s">
        <v>291</v>
      </c>
    </row>
    <row r="143" spans="3:6" ht="21" customHeight="1" x14ac:dyDescent="0.25"/>
  </sheetData>
  <sheetProtection password="CDF4" sheet="1" objects="1" scenarios="1"/>
  <customSheetViews>
    <customSheetView guid="{27B7C317-A4C8-4AFE-A1B4-96A5038E57EE}" scale="75" hiddenColumns="1" showRuler="0">
      <pageMargins left="0.75" right="0.75" top="1" bottom="1" header="0.5" footer="0.5"/>
      <pageSetup paperSize="9" orientation="portrait" r:id="rId1"/>
      <headerFooter alignWithMargins="0"/>
    </customSheetView>
  </customSheetViews>
  <mergeCells count="42">
    <mergeCell ref="H92:L92"/>
    <mergeCell ref="H93:L93"/>
    <mergeCell ref="H94:L94"/>
    <mergeCell ref="C22:D22"/>
    <mergeCell ref="C39:F39"/>
    <mergeCell ref="H89:L89"/>
    <mergeCell ref="H90:L90"/>
    <mergeCell ref="H91:L91"/>
    <mergeCell ref="H88:L88"/>
    <mergeCell ref="O28:P28"/>
    <mergeCell ref="I39:K39"/>
    <mergeCell ref="H86:L86"/>
    <mergeCell ref="C61:D61"/>
    <mergeCell ref="H87:L87"/>
    <mergeCell ref="C86:F86"/>
    <mergeCell ref="H108:L108"/>
    <mergeCell ref="H110:L110"/>
    <mergeCell ref="H95:L95"/>
    <mergeCell ref="H96:L96"/>
    <mergeCell ref="H113:L113"/>
    <mergeCell ref="H98:L98"/>
    <mergeCell ref="H99:L99"/>
    <mergeCell ref="H100:L100"/>
    <mergeCell ref="H101:L101"/>
    <mergeCell ref="H102:L102"/>
    <mergeCell ref="H107:L107"/>
    <mergeCell ref="H103:L103"/>
    <mergeCell ref="H97:L97"/>
    <mergeCell ref="H104:L104"/>
    <mergeCell ref="H105:L105"/>
    <mergeCell ref="H106:L106"/>
    <mergeCell ref="H120:L120"/>
    <mergeCell ref="H109:L109"/>
    <mergeCell ref="H121:L121"/>
    <mergeCell ref="H115:L115"/>
    <mergeCell ref="H116:L116"/>
    <mergeCell ref="H117:L117"/>
    <mergeCell ref="H118:L118"/>
    <mergeCell ref="H111:L111"/>
    <mergeCell ref="H112:L112"/>
    <mergeCell ref="H114:L114"/>
    <mergeCell ref="H119:L119"/>
  </mergeCells>
  <phoneticPr fontId="4" type="noConversion"/>
  <hyperlinks>
    <hyperlink ref="C126" location="'Road Waiver'!A1" display="Top of Page" xr:uid="{00000000-0004-0000-0800-000000000000}"/>
  </hyperlinks>
  <pageMargins left="0.39370078740157483" right="0" top="0.78740157480314965" bottom="7.874015748031496E-2" header="0.51181102362204722" footer="0.51181102362204722"/>
  <pageSetup paperSize="9" scale="56" orientation="portrait" blackAndWhite="1"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locked="0" defaultSize="0" autoFill="0" autoLine="0" autoPict="0">
                <anchor moveWithCells="1" sizeWithCells="1">
                  <from>
                    <xdr:col>2</xdr:col>
                    <xdr:colOff>7620</xdr:colOff>
                    <xdr:row>3</xdr:row>
                    <xdr:rowOff>76200</xdr:rowOff>
                  </from>
                  <to>
                    <xdr:col>10</xdr:col>
                    <xdr:colOff>68580</xdr:colOff>
                    <xdr:row>4</xdr:row>
                    <xdr:rowOff>45720</xdr:rowOff>
                  </to>
                </anchor>
              </controlPr>
            </control>
          </mc:Choice>
        </mc:AlternateContent>
        <mc:AlternateContent xmlns:mc="http://schemas.openxmlformats.org/markup-compatibility/2006">
          <mc:Choice Requires="x14">
            <control shapeId="15362" r:id="rId6" name="Check Box 2">
              <controlPr locked="0" defaultSize="0" autoFill="0" autoLine="0" autoPict="0">
                <anchor moveWithCells="1" sizeWithCells="1">
                  <from>
                    <xdr:col>2</xdr:col>
                    <xdr:colOff>7620</xdr:colOff>
                    <xdr:row>4</xdr:row>
                    <xdr:rowOff>60960</xdr:rowOff>
                  </from>
                  <to>
                    <xdr:col>12</xdr:col>
                    <xdr:colOff>175260</xdr:colOff>
                    <xdr:row>5</xdr:row>
                    <xdr:rowOff>60960</xdr:rowOff>
                  </to>
                </anchor>
              </controlPr>
            </control>
          </mc:Choice>
        </mc:AlternateContent>
        <mc:AlternateContent xmlns:mc="http://schemas.openxmlformats.org/markup-compatibility/2006">
          <mc:Choice Requires="x14">
            <control shapeId="15363" r:id="rId7" name="Check Box 3">
              <controlPr locked="0" defaultSize="0" autoFill="0" autoLine="0" autoPict="0">
                <anchor moveWithCells="1" sizeWithCells="1">
                  <from>
                    <xdr:col>2</xdr:col>
                    <xdr:colOff>7620</xdr:colOff>
                    <xdr:row>5</xdr:row>
                    <xdr:rowOff>68580</xdr:rowOff>
                  </from>
                  <to>
                    <xdr:col>5</xdr:col>
                    <xdr:colOff>144780</xdr:colOff>
                    <xdr:row>6</xdr:row>
                    <xdr:rowOff>68580</xdr:rowOff>
                  </to>
                </anchor>
              </controlPr>
            </control>
          </mc:Choice>
        </mc:AlternateContent>
        <mc:AlternateContent xmlns:mc="http://schemas.openxmlformats.org/markup-compatibility/2006">
          <mc:Choice Requires="x14">
            <control shapeId="15364" r:id="rId8" name="Check Box 4">
              <controlPr locked="0" defaultSize="0" autoFill="0" autoLine="0" autoPict="0">
                <anchor moveWithCells="1" sizeWithCells="1">
                  <from>
                    <xdr:col>2</xdr:col>
                    <xdr:colOff>0</xdr:colOff>
                    <xdr:row>6</xdr:row>
                    <xdr:rowOff>76200</xdr:rowOff>
                  </from>
                  <to>
                    <xdr:col>9</xdr:col>
                    <xdr:colOff>1722120</xdr:colOff>
                    <xdr:row>7</xdr:row>
                    <xdr:rowOff>76200</xdr:rowOff>
                  </to>
                </anchor>
              </controlPr>
            </control>
          </mc:Choice>
        </mc:AlternateContent>
        <mc:AlternateContent xmlns:mc="http://schemas.openxmlformats.org/markup-compatibility/2006">
          <mc:Choice Requires="x14">
            <control shapeId="15365" r:id="rId9" name="Check Box 5">
              <controlPr locked="0" defaultSize="0" autoFill="0" autoLine="0" autoPict="0">
                <anchor moveWithCells="1" sizeWithCells="1">
                  <from>
                    <xdr:col>2</xdr:col>
                    <xdr:colOff>0</xdr:colOff>
                    <xdr:row>7</xdr:row>
                    <xdr:rowOff>83820</xdr:rowOff>
                  </from>
                  <to>
                    <xdr:col>9</xdr:col>
                    <xdr:colOff>1874520</xdr:colOff>
                    <xdr:row>8</xdr:row>
                    <xdr:rowOff>83820</xdr:rowOff>
                  </to>
                </anchor>
              </controlPr>
            </control>
          </mc:Choice>
        </mc:AlternateContent>
        <mc:AlternateContent xmlns:mc="http://schemas.openxmlformats.org/markup-compatibility/2006">
          <mc:Choice Requires="x14">
            <control shapeId="15366" r:id="rId10" name="Check Box 6">
              <controlPr locked="0" defaultSize="0" autoFill="0" autoLine="0" autoPict="0">
                <anchor moveWithCells="1" sizeWithCells="1">
                  <from>
                    <xdr:col>2</xdr:col>
                    <xdr:colOff>7620</xdr:colOff>
                    <xdr:row>17</xdr:row>
                    <xdr:rowOff>7620</xdr:rowOff>
                  </from>
                  <to>
                    <xdr:col>6</xdr:col>
                    <xdr:colOff>762000</xdr:colOff>
                    <xdr:row>18</xdr:row>
                    <xdr:rowOff>30480</xdr:rowOff>
                  </to>
                </anchor>
              </controlPr>
            </control>
          </mc:Choice>
        </mc:AlternateContent>
        <mc:AlternateContent xmlns:mc="http://schemas.openxmlformats.org/markup-compatibility/2006">
          <mc:Choice Requires="x14">
            <control shapeId="15367" r:id="rId11" name="Check Box 7">
              <controlPr locked="0" defaultSize="0" autoFill="0" autoLine="0" autoPict="0">
                <anchor moveWithCells="1" sizeWithCells="1">
                  <from>
                    <xdr:col>2</xdr:col>
                    <xdr:colOff>7620</xdr:colOff>
                    <xdr:row>33</xdr:row>
                    <xdr:rowOff>30480</xdr:rowOff>
                  </from>
                  <to>
                    <xdr:col>11</xdr:col>
                    <xdr:colOff>38100</xdr:colOff>
                    <xdr:row>34</xdr:row>
                    <xdr:rowOff>45720</xdr:rowOff>
                  </to>
                </anchor>
              </controlPr>
            </control>
          </mc:Choice>
        </mc:AlternateContent>
        <mc:AlternateContent xmlns:mc="http://schemas.openxmlformats.org/markup-compatibility/2006">
          <mc:Choice Requires="x14">
            <control shapeId="15368" r:id="rId12" name="Check Box 8">
              <controlPr locked="0" defaultSize="0" autoFill="0" autoLine="0" autoPict="0">
                <anchor moveWithCells="1" sizeWithCells="1">
                  <from>
                    <xdr:col>2</xdr:col>
                    <xdr:colOff>7620</xdr:colOff>
                    <xdr:row>34</xdr:row>
                    <xdr:rowOff>38100</xdr:rowOff>
                  </from>
                  <to>
                    <xdr:col>5</xdr:col>
                    <xdr:colOff>198120</xdr:colOff>
                    <xdr:row>35</xdr:row>
                    <xdr:rowOff>38100</xdr:rowOff>
                  </to>
                </anchor>
              </controlPr>
            </control>
          </mc:Choice>
        </mc:AlternateContent>
        <mc:AlternateContent xmlns:mc="http://schemas.openxmlformats.org/markup-compatibility/2006">
          <mc:Choice Requires="x14">
            <control shapeId="15369" r:id="rId13" name="Drop Down 9">
              <controlPr defaultSize="0" autoLine="0" autoPict="0">
                <anchor moveWithCells="1" sizeWithCells="1">
                  <from>
                    <xdr:col>8</xdr:col>
                    <xdr:colOff>7620</xdr:colOff>
                    <xdr:row>39</xdr:row>
                    <xdr:rowOff>0</xdr:rowOff>
                  </from>
                  <to>
                    <xdr:col>11</xdr:col>
                    <xdr:colOff>0</xdr:colOff>
                    <xdr:row>40</xdr:row>
                    <xdr:rowOff>7620</xdr:rowOff>
                  </to>
                </anchor>
              </controlPr>
            </control>
          </mc:Choice>
        </mc:AlternateContent>
        <mc:AlternateContent xmlns:mc="http://schemas.openxmlformats.org/markup-compatibility/2006">
          <mc:Choice Requires="x14">
            <control shapeId="15370" r:id="rId14" name="Drop Down 10">
              <controlPr defaultSize="0" autoLine="0" autoPict="0">
                <anchor moveWithCells="1" sizeWithCells="1">
                  <from>
                    <xdr:col>8</xdr:col>
                    <xdr:colOff>7620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5371" r:id="rId15" name="Drop Down 11">
              <controlPr defaultSize="0" autoLine="0" autoPict="0">
                <anchor moveWithCells="1" sizeWithCells="1">
                  <from>
                    <xdr:col>8</xdr:col>
                    <xdr:colOff>7620</xdr:colOff>
                    <xdr:row>41</xdr:row>
                    <xdr:rowOff>0</xdr:rowOff>
                  </from>
                  <to>
                    <xdr:col>11</xdr:col>
                    <xdr:colOff>0</xdr:colOff>
                    <xdr:row>42</xdr:row>
                    <xdr:rowOff>7620</xdr:rowOff>
                  </to>
                </anchor>
              </controlPr>
            </control>
          </mc:Choice>
        </mc:AlternateContent>
        <mc:AlternateContent xmlns:mc="http://schemas.openxmlformats.org/markup-compatibility/2006">
          <mc:Choice Requires="x14">
            <control shapeId="15379" r:id="rId16" name="Check Box 19">
              <controlPr locked="0" defaultSize="0" autoFill="0" autoLine="0" autoPict="0">
                <anchor moveWithCells="1" sizeWithCells="1">
                  <from>
                    <xdr:col>2</xdr:col>
                    <xdr:colOff>7620</xdr:colOff>
                    <xdr:row>55</xdr:row>
                    <xdr:rowOff>76200</xdr:rowOff>
                  </from>
                  <to>
                    <xdr:col>6</xdr:col>
                    <xdr:colOff>632460</xdr:colOff>
                    <xdr:row>56</xdr:row>
                    <xdr:rowOff>38100</xdr:rowOff>
                  </to>
                </anchor>
              </controlPr>
            </control>
          </mc:Choice>
        </mc:AlternateContent>
        <mc:AlternateContent xmlns:mc="http://schemas.openxmlformats.org/markup-compatibility/2006">
          <mc:Choice Requires="x14">
            <control shapeId="15380" r:id="rId17" name="Check Box 20">
              <controlPr locked="0" defaultSize="0" autoFill="0" autoLine="0" autoPict="0">
                <anchor moveWithCells="1" sizeWithCells="1">
                  <from>
                    <xdr:col>2</xdr:col>
                    <xdr:colOff>7620</xdr:colOff>
                    <xdr:row>56</xdr:row>
                    <xdr:rowOff>45720</xdr:rowOff>
                  </from>
                  <to>
                    <xdr:col>6</xdr:col>
                    <xdr:colOff>266700</xdr:colOff>
                    <xdr:row>57</xdr:row>
                    <xdr:rowOff>7620</xdr:rowOff>
                  </to>
                </anchor>
              </controlPr>
            </control>
          </mc:Choice>
        </mc:AlternateContent>
        <mc:AlternateContent xmlns:mc="http://schemas.openxmlformats.org/markup-compatibility/2006">
          <mc:Choice Requires="x14">
            <control shapeId="15381" r:id="rId18" name="Check Box 21">
              <controlPr locked="0" defaultSize="0" autoFill="0" autoLine="0" autoPict="0">
                <anchor moveWithCells="1" sizeWithCells="1">
                  <from>
                    <xdr:col>2</xdr:col>
                    <xdr:colOff>7620</xdr:colOff>
                    <xdr:row>57</xdr:row>
                    <xdr:rowOff>22860</xdr:rowOff>
                  </from>
                  <to>
                    <xdr:col>9</xdr:col>
                    <xdr:colOff>289560</xdr:colOff>
                    <xdr:row>57</xdr:row>
                    <xdr:rowOff>251460</xdr:rowOff>
                  </to>
                </anchor>
              </controlPr>
            </control>
          </mc:Choice>
        </mc:AlternateContent>
        <mc:AlternateContent xmlns:mc="http://schemas.openxmlformats.org/markup-compatibility/2006">
          <mc:Choice Requires="x14">
            <control shapeId="15382" r:id="rId19" name="Check Box 22">
              <controlPr locked="0" defaultSize="0" autoFill="0" autoLine="0" autoPict="0">
                <anchor moveWithCells="1" sizeWithCells="1">
                  <from>
                    <xdr:col>2</xdr:col>
                    <xdr:colOff>7620</xdr:colOff>
                    <xdr:row>16</xdr:row>
                    <xdr:rowOff>45720</xdr:rowOff>
                  </from>
                  <to>
                    <xdr:col>6</xdr:col>
                    <xdr:colOff>845820</xdr:colOff>
                    <xdr:row>17</xdr:row>
                    <xdr:rowOff>45720</xdr:rowOff>
                  </to>
                </anchor>
              </controlPr>
            </control>
          </mc:Choice>
        </mc:AlternateContent>
        <mc:AlternateContent xmlns:mc="http://schemas.openxmlformats.org/markup-compatibility/2006">
          <mc:Choice Requires="x14">
            <control shapeId="15383" r:id="rId20" name="Check Box 23">
              <controlPr locked="0" defaultSize="0" autoFill="0" autoLine="0" autoPict="0">
                <anchor moveWithCells="1" sizeWithCells="1">
                  <from>
                    <xdr:col>2</xdr:col>
                    <xdr:colOff>7620</xdr:colOff>
                    <xdr:row>32</xdr:row>
                    <xdr:rowOff>76200</xdr:rowOff>
                  </from>
                  <to>
                    <xdr:col>8</xdr:col>
                    <xdr:colOff>45720</xdr:colOff>
                    <xdr:row>33</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4" ma:contentTypeDescription="Create a new document." ma:contentTypeScope="" ma:versionID="def42a155009ae0b9a176707ae13e78b">
  <xsd:schema xmlns:xsd="http://www.w3.org/2001/XMLSchema" xmlns:xs="http://www.w3.org/2001/XMLSchema" xmlns:p="http://schemas.microsoft.com/office/2006/metadata/properties" xmlns:ns2="32315cdd-a45e-4024-b10d-9f84552e30db" targetNamespace="http://schemas.microsoft.com/office/2006/metadata/properties" ma:root="true" ma:fieldsID="cf1f5af2ddacd63bd2d61c5c7203a126" ns2:_="">
    <xsd:import namespace="32315cdd-a45e-4024-b10d-9f84552e30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15cdd-a45e-4024-b10d-9f84552e30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95C2D6-AD7B-4F6C-9B0F-7DB1BB6D591F}">
  <ds:schemaRefs>
    <ds:schemaRef ds:uri="http://schemas.microsoft.com/office/2006/metadata/longProperties"/>
  </ds:schemaRefs>
</ds:datastoreItem>
</file>

<file path=customXml/itemProps2.xml><?xml version="1.0" encoding="utf-8"?>
<ds:datastoreItem xmlns:ds="http://schemas.openxmlformats.org/officeDocument/2006/customXml" ds:itemID="{38C34954-BE89-4FA7-9F4E-6B1159B89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15cdd-a45e-4024-b10d-9f84552e3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4BC01-C203-41DF-A487-4634C185418A}">
  <ds:schemaRefs>
    <ds:schemaRef ds:uri="http://schemas.microsoft.com/sharepoint/v3/contenttype/forms"/>
  </ds:schemaRefs>
</ds:datastoreItem>
</file>

<file path=customXml/itemProps4.xml><?xml version="1.0" encoding="utf-8"?>
<ds:datastoreItem xmlns:ds="http://schemas.openxmlformats.org/officeDocument/2006/customXml" ds:itemID="{5EDAAB6A-E7B4-41D2-8553-BFE1C19C609D}">
  <ds:schemaRefs>
    <ds:schemaRef ds:uri="http://purl.org/dc/terms/"/>
    <ds:schemaRef ds:uri="3a493a26-741a-42fd-8777-f88520cae55b"/>
    <ds:schemaRef ds:uri="dcf13a8c-8bd3-4ac7-8c19-6244a771e9dd"/>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sharepoint/v3"/>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Welcome</vt:lpstr>
      <vt:lpstr>Summary</vt:lpstr>
      <vt:lpstr>June 2009 Summary</vt:lpstr>
      <vt:lpstr>Sewer &amp; Water</vt:lpstr>
      <vt:lpstr>Open Space</vt:lpstr>
      <vt:lpstr>Car Parking</vt:lpstr>
      <vt:lpstr>Roads</vt:lpstr>
      <vt:lpstr>Storm Water</vt:lpstr>
      <vt:lpstr>Waiver 1, 2 and 3</vt:lpstr>
      <vt:lpstr>Waiver 4</vt:lpstr>
      <vt:lpstr>Waiver 6</vt:lpstr>
      <vt:lpstr>Amendments</vt:lpstr>
      <vt:lpstr>'Car Parking'!Print_Area</vt:lpstr>
      <vt:lpstr>'June 2009 Summary'!Print_Area</vt:lpstr>
      <vt:lpstr>'Open Space'!Print_Area</vt:lpstr>
      <vt:lpstr>Roads!Print_Area</vt:lpstr>
      <vt:lpstr>'Sewer &amp; Water'!Print_Area</vt:lpstr>
      <vt:lpstr>'Storm Water'!Print_Area</vt:lpstr>
      <vt:lpstr>Summary!Print_Area</vt:lpstr>
      <vt:lpstr>'Waiver 1, 2 and 3'!Print_Area</vt:lpstr>
      <vt:lpstr>'Waiver 4'!Print_Area</vt:lpstr>
      <vt:lpstr>'Waiver 6'!Print_Area</vt:lpstr>
      <vt:lpstr>Welcome!Print_Area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TCC Contribution Calculator v5.16 - Effective from 28 Oct 2009 to 30 Jun 2011.xls</dc:title>
  <dc:creator>Darron Irwin</dc:creator>
  <cp:lastModifiedBy>Mark Sulovski</cp:lastModifiedBy>
  <cp:lastPrinted>2014-06-17T06:32:50Z</cp:lastPrinted>
  <dcterms:created xsi:type="dcterms:W3CDTF">2008-08-04T21:17:38Z</dcterms:created>
  <dcterms:modified xsi:type="dcterms:W3CDTF">2024-08-27T00:00:34Z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City Plan Volume">
    <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dopted Amendment Number">
    <vt:lpwstr/>
  </property>
  <property fmtid="{D5CDD505-2E9C-101B-9397-08002B2CF9AE}" pid="9" name="Resolution Doc Type">
    <vt:lpwstr/>
  </property>
  <property fmtid="{D5CDD505-2E9C-101B-9397-08002B2CF9AE}" pid="10" name="Gazetted Amendment No">
    <vt:lpwstr/>
  </property>
  <property fmtid="{D5CDD505-2E9C-101B-9397-08002B2CF9AE}" pid="11" name="Map Type">
    <vt:lpwstr/>
  </property>
  <property fmtid="{D5CDD505-2E9C-101B-9397-08002B2CF9AE}" pid="12" name="_SourceUrl">
    <vt:lpwstr/>
  </property>
  <property fmtid="{D5CDD505-2E9C-101B-9397-08002B2CF9AE}" pid="13" name="Future Amendment Number">
    <vt:lpwstr/>
  </property>
  <property fmtid="{D5CDD505-2E9C-101B-9397-08002B2CF9AE}" pid="14" name="Resolution">
    <vt:lpwstr/>
  </property>
  <property fmtid="{D5CDD505-2E9C-101B-9397-08002B2CF9AE}" pid="15" name="DWDocAuthor">
    <vt:lpwstr/>
  </property>
  <property fmtid="{D5CDD505-2E9C-101B-9397-08002B2CF9AE}" pid="16" name="DWDocClass">
    <vt:lpwstr/>
  </property>
  <property fmtid="{D5CDD505-2E9C-101B-9397-08002B2CF9AE}" pid="17" name="DWDocClassId">
    <vt:lpwstr/>
  </property>
  <property fmtid="{D5CDD505-2E9C-101B-9397-08002B2CF9AE}" pid="18" name="DWDocPrecis">
    <vt:lpwstr/>
  </property>
  <property fmtid="{D5CDD505-2E9C-101B-9397-08002B2CF9AE}" pid="19" name="DWDocNo">
    <vt:lpwstr/>
  </property>
  <property fmtid="{D5CDD505-2E9C-101B-9397-08002B2CF9AE}" pid="20" name="DWDocSetID">
    <vt:lpwstr/>
  </property>
  <property fmtid="{D5CDD505-2E9C-101B-9397-08002B2CF9AE}" pid="21" name="DWDocType">
    <vt:lpwstr/>
  </property>
  <property fmtid="{D5CDD505-2E9C-101B-9397-08002B2CF9AE}" pid="22" name="DWDocVersion">
    <vt:lpwstr/>
  </property>
  <property fmtid="{D5CDD505-2E9C-101B-9397-08002B2CF9AE}" pid="23" name="_SharedFileIndex">
    <vt:lpwstr/>
  </property>
  <property fmtid="{D5CDD505-2E9C-101B-9397-08002B2CF9AE}" pid="24" name="ContentType">
    <vt:lpwstr>Document</vt:lpwstr>
  </property>
  <property fmtid="{D5CDD505-2E9C-101B-9397-08002B2CF9AE}" pid="25" name="ContentTypeId">
    <vt:lpwstr>0x0101003B0A59C1D4033A45BBE420D83D7D7823</vt:lpwstr>
  </property>
</Properties>
</file>