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0.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7FC603F9-C086-4E25-B932-1399ECC81E7F}" xr6:coauthVersionLast="47" xr6:coauthVersionMax="47" xr10:uidLastSave="{00000000-0000-0000-0000-000000000000}"/>
  <bookViews>
    <workbookView xWindow="19090" yWindow="-110" windowWidth="19420" windowHeight="10420" tabRatio="661" xr2:uid="{00000000-000D-0000-FFFF-FFFF00000000}"/>
  </bookViews>
  <sheets>
    <sheet name="Welcome" sheetId="8" r:id="rId1"/>
    <sheet name="Summary" sheetId="21" r:id="rId2"/>
    <sheet name="June 2009 Summary" sheetId="10" state="hidden" r:id="rId3"/>
    <sheet name="Sewer" sheetId="17" r:id="rId4"/>
    <sheet name="Water" sheetId="12" r:id="rId5"/>
    <sheet name="Open Space" sheetId="14" r:id="rId6"/>
    <sheet name="Car Parking" sheetId="11" r:id="rId7"/>
    <sheet name="Peds &amp; Bikes" sheetId="18" r:id="rId8"/>
    <sheet name="Roads" sheetId="16" r:id="rId9"/>
    <sheet name="Storm Water" sheetId="15" r:id="rId10"/>
    <sheet name="Waivers 1, 2 and 3" sheetId="19" r:id="rId11"/>
    <sheet name="Waiver 4" sheetId="22" r:id="rId12"/>
    <sheet name="Waiver 6" sheetId="23" r:id="rId13"/>
    <sheet name="Amendments" sheetId="2" r:id="rId14"/>
  </sheets>
  <definedNames>
    <definedName name="_xlnm._FilterDatabase" localSheetId="8" hidden="1">Roads!$B$90:$F$159</definedName>
    <definedName name="OLE_LINK14" localSheetId="10">'Waivers 1, 2 and 3'!$H$92</definedName>
    <definedName name="OLE_LINK16" localSheetId="10">'Waivers 1, 2 and 3'!$H$96</definedName>
    <definedName name="OLE_LINK18" localSheetId="10">'Waivers 1, 2 and 3'!$H$116</definedName>
    <definedName name="_xlnm.Print_Area" localSheetId="2">'June 2009 Summary'!$A$1:$K$43</definedName>
    <definedName name="_xlnm.Print_Area" localSheetId="5">'Open Space'!$A$1:$L$19</definedName>
    <definedName name="_xlnm.Print_Area" localSheetId="7">'Peds &amp; Bikes'!$A$1:$L$32</definedName>
    <definedName name="_xlnm.Print_Area" localSheetId="8">Roads!$A$1:$M$39</definedName>
    <definedName name="_xlnm.Print_Area" localSheetId="3">Sewer!$A$1:$M$54</definedName>
    <definedName name="_xlnm.Print_Area" localSheetId="9">'Storm Water'!$A$1:$L$31</definedName>
    <definedName name="_xlnm.Print_Area" localSheetId="1">Summary!$A$1:$K$43</definedName>
    <definedName name="_xlnm.Print_Area" localSheetId="4">Water!$A$1:$N$54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B2" i="21" l="1"/>
  <c r="G19" i="14"/>
  <c r="E19" i="14"/>
  <c r="F16" i="12"/>
  <c r="I16" i="12" s="1"/>
  <c r="J16" i="12" s="1"/>
  <c r="F17" i="12"/>
  <c r="I17" i="12" s="1"/>
  <c r="J17" i="12" s="1"/>
  <c r="F18" i="12"/>
  <c r="I18" i="12"/>
  <c r="J18" i="12" s="1"/>
  <c r="F19" i="12"/>
  <c r="I19" i="12" s="1"/>
  <c r="J19" i="12" s="1"/>
  <c r="F20" i="12"/>
  <c r="I20" i="12" s="1"/>
  <c r="J20" i="12" s="1"/>
  <c r="P148" i="12"/>
  <c r="S148" i="12"/>
  <c r="T148" i="12"/>
  <c r="P149" i="12"/>
  <c r="S149" i="12"/>
  <c r="T149" i="12"/>
  <c r="P150" i="12"/>
  <c r="S150" i="12"/>
  <c r="T150" i="12"/>
  <c r="P151" i="12"/>
  <c r="S151" i="12"/>
  <c r="T151" i="12"/>
  <c r="P152" i="12"/>
  <c r="S152" i="12"/>
  <c r="T152" i="12"/>
  <c r="P153" i="12"/>
  <c r="S153" i="12"/>
  <c r="T153" i="12"/>
  <c r="P154" i="12"/>
  <c r="S154" i="12"/>
  <c r="T154" i="12"/>
  <c r="P135" i="12"/>
  <c r="S135" i="12"/>
  <c r="T135" i="12"/>
  <c r="P136" i="12"/>
  <c r="S136" i="12"/>
  <c r="T136" i="12"/>
  <c r="P137" i="12"/>
  <c r="S137" i="12"/>
  <c r="T137" i="12"/>
  <c r="P138" i="12"/>
  <c r="S138" i="12"/>
  <c r="T138" i="12"/>
  <c r="P139" i="12"/>
  <c r="S139" i="12"/>
  <c r="T139" i="12"/>
  <c r="P140" i="12"/>
  <c r="S140" i="12"/>
  <c r="T140" i="12"/>
  <c r="P141" i="12"/>
  <c r="S141" i="12"/>
  <c r="T141" i="12"/>
  <c r="P142" i="12"/>
  <c r="S142" i="12"/>
  <c r="T142" i="12"/>
  <c r="P143" i="12"/>
  <c r="S143" i="12"/>
  <c r="T143" i="12"/>
  <c r="P144" i="12"/>
  <c r="S144" i="12"/>
  <c r="T144" i="12"/>
  <c r="P145" i="12"/>
  <c r="S145" i="12"/>
  <c r="T145" i="12"/>
  <c r="P146" i="12"/>
  <c r="S146" i="12"/>
  <c r="T146" i="12"/>
  <c r="P147" i="12"/>
  <c r="S147" i="12"/>
  <c r="T147" i="12"/>
  <c r="F15" i="18"/>
  <c r="I15" i="18"/>
  <c r="J15" i="18" s="1"/>
  <c r="F14" i="18"/>
  <c r="I14" i="18"/>
  <c r="J14" i="18" s="1"/>
  <c r="F16" i="18"/>
  <c r="I16" i="18" s="1"/>
  <c r="J16" i="18" s="1"/>
  <c r="F22" i="18"/>
  <c r="I22" i="18" s="1"/>
  <c r="J22" i="18" s="1"/>
  <c r="J26" i="18" s="1"/>
  <c r="F23" i="18"/>
  <c r="I23" i="18"/>
  <c r="J23" i="18" s="1"/>
  <c r="F24" i="18"/>
  <c r="I24" i="18"/>
  <c r="J24" i="18" s="1"/>
  <c r="F14" i="21"/>
  <c r="G14" i="21" s="1"/>
  <c r="E11" i="16"/>
  <c r="H11" i="16"/>
  <c r="I11" i="16" s="1"/>
  <c r="E12" i="16"/>
  <c r="H12" i="16"/>
  <c r="I12" i="16" s="1"/>
  <c r="G41" i="19" s="1"/>
  <c r="E13" i="16"/>
  <c r="H13" i="16"/>
  <c r="I13" i="16" s="1"/>
  <c r="G42" i="19" s="1"/>
  <c r="E19" i="16"/>
  <c r="H19" i="16" s="1"/>
  <c r="I19" i="16" s="1"/>
  <c r="I23" i="16" s="1"/>
  <c r="E20" i="16"/>
  <c r="H20" i="16" s="1"/>
  <c r="I20" i="16" s="1"/>
  <c r="E21" i="16"/>
  <c r="H21" i="16"/>
  <c r="I21" i="16"/>
  <c r="C133" i="23"/>
  <c r="Q91" i="16"/>
  <c r="R91" i="16"/>
  <c r="F28" i="16"/>
  <c r="J28" i="16"/>
  <c r="K28" i="16" s="1"/>
  <c r="F29" i="16"/>
  <c r="J29" i="16"/>
  <c r="K29" i="16" s="1"/>
  <c r="F30" i="16"/>
  <c r="J30" i="16"/>
  <c r="K30" i="16" s="1"/>
  <c r="F31" i="16"/>
  <c r="K31" i="16"/>
  <c r="J31" i="16"/>
  <c r="F15" i="17"/>
  <c r="I15" i="17" s="1"/>
  <c r="J15" i="17" s="1"/>
  <c r="F16" i="17"/>
  <c r="I16" i="17" s="1"/>
  <c r="J16" i="17" s="1"/>
  <c r="F17" i="17"/>
  <c r="I17" i="17"/>
  <c r="J17" i="17"/>
  <c r="F18" i="17"/>
  <c r="I18" i="17"/>
  <c r="J18" i="17" s="1"/>
  <c r="H10" i="11"/>
  <c r="H13" i="14"/>
  <c r="I13" i="14"/>
  <c r="J13" i="14"/>
  <c r="F29" i="10"/>
  <c r="H29" i="10"/>
  <c r="F14" i="14"/>
  <c r="F11" i="11"/>
  <c r="I10" i="11"/>
  <c r="J10" i="11" s="1"/>
  <c r="E16" i="11" s="1"/>
  <c r="F30" i="10" s="1"/>
  <c r="H30" i="10" s="1"/>
  <c r="H9" i="11"/>
  <c r="H12" i="14"/>
  <c r="J54" i="23"/>
  <c r="K54" i="23" s="1"/>
  <c r="F73" i="23" s="1"/>
  <c r="H25" i="17"/>
  <c r="H28" i="17" s="1"/>
  <c r="H26" i="17"/>
  <c r="H27" i="17"/>
  <c r="K8" i="17"/>
  <c r="L8" i="17"/>
  <c r="C9" i="22"/>
  <c r="E9" i="22" s="1"/>
  <c r="AF18" i="17"/>
  <c r="AF17" i="17"/>
  <c r="E12" i="22" s="1"/>
  <c r="F12" i="22" s="1"/>
  <c r="AF16" i="17"/>
  <c r="AF15" i="17"/>
  <c r="AF14" i="17"/>
  <c r="AG14" i="17"/>
  <c r="C10" i="22"/>
  <c r="E10" i="22" s="1"/>
  <c r="F10" i="22" s="1"/>
  <c r="C11" i="22"/>
  <c r="C12" i="22"/>
  <c r="C13" i="22"/>
  <c r="E13" i="22" s="1"/>
  <c r="F13" i="22" s="1"/>
  <c r="C14" i="22"/>
  <c r="E14" i="22" s="1"/>
  <c r="F14" i="22" s="1"/>
  <c r="C15" i="22"/>
  <c r="C16" i="22"/>
  <c r="H33" i="17"/>
  <c r="H36" i="17" s="1"/>
  <c r="H34" i="17"/>
  <c r="H35" i="17"/>
  <c r="K9" i="17"/>
  <c r="L9" i="17"/>
  <c r="L8" i="12"/>
  <c r="M8" i="12"/>
  <c r="C25" i="22"/>
  <c r="E25" i="22" s="1"/>
  <c r="V20" i="12"/>
  <c r="V19" i="12"/>
  <c r="V18" i="12"/>
  <c r="V17" i="12"/>
  <c r="E35" i="22" s="1"/>
  <c r="F35" i="22" s="1"/>
  <c r="V16" i="12"/>
  <c r="C26" i="22"/>
  <c r="C27" i="22"/>
  <c r="C28" i="22"/>
  <c r="W17" i="12"/>
  <c r="C29" i="22"/>
  <c r="C30" i="22"/>
  <c r="C31" i="22"/>
  <c r="C32" i="22"/>
  <c r="E32" i="22" s="1"/>
  <c r="F32" i="22" s="1"/>
  <c r="C33" i="22"/>
  <c r="E33" i="22" s="1"/>
  <c r="F33" i="22" s="1"/>
  <c r="C34" i="22"/>
  <c r="C35" i="22"/>
  <c r="C36" i="22"/>
  <c r="E36" i="22" s="1"/>
  <c r="F36" i="22" s="1"/>
  <c r="K27" i="12"/>
  <c r="K30" i="12" s="1"/>
  <c r="K28" i="12"/>
  <c r="K29" i="12"/>
  <c r="L9" i="12"/>
  <c r="M9" i="12"/>
  <c r="K35" i="12"/>
  <c r="K36" i="12"/>
  <c r="K37" i="12"/>
  <c r="K38" i="12" s="1"/>
  <c r="L10" i="12"/>
  <c r="K43" i="12"/>
  <c r="K44" i="12"/>
  <c r="K45" i="12"/>
  <c r="K46" i="12" s="1"/>
  <c r="L11" i="12"/>
  <c r="M11" i="12"/>
  <c r="I11" i="15"/>
  <c r="J11" i="15" s="1"/>
  <c r="I12" i="15"/>
  <c r="J12" i="15" s="1"/>
  <c r="I13" i="15"/>
  <c r="J13" i="15" s="1"/>
  <c r="I18" i="15"/>
  <c r="J18" i="15"/>
  <c r="I19" i="15"/>
  <c r="J19" i="15"/>
  <c r="I20" i="15"/>
  <c r="J20" i="15"/>
  <c r="E26" i="15"/>
  <c r="I26" i="15" s="1"/>
  <c r="H26" i="15"/>
  <c r="J41" i="23"/>
  <c r="K41" i="23" s="1"/>
  <c r="J42" i="23"/>
  <c r="K42" i="23" s="1"/>
  <c r="J43" i="23"/>
  <c r="K43" i="23" s="1"/>
  <c r="J44" i="23"/>
  <c r="K44" i="23" s="1"/>
  <c r="G69" i="23" s="1"/>
  <c r="F53" i="23"/>
  <c r="J53" i="23"/>
  <c r="K53" i="23" s="1"/>
  <c r="J55" i="23"/>
  <c r="K55" i="23" s="1"/>
  <c r="J56" i="23"/>
  <c r="K56" i="23" s="1"/>
  <c r="J87" i="23"/>
  <c r="K87" i="23" s="1"/>
  <c r="J88" i="23"/>
  <c r="K88" i="23" s="1"/>
  <c r="J89" i="23"/>
  <c r="K89" i="23" s="1"/>
  <c r="J90" i="23"/>
  <c r="K90" i="23" s="1"/>
  <c r="J99" i="23"/>
  <c r="K99" i="23" s="1"/>
  <c r="E120" i="23" s="1"/>
  <c r="J100" i="23"/>
  <c r="K100" i="23" s="1"/>
  <c r="I121" i="23" s="1"/>
  <c r="J101" i="23"/>
  <c r="K101" i="23" s="1"/>
  <c r="J102" i="23"/>
  <c r="K102" i="23" s="1"/>
  <c r="J103" i="23"/>
  <c r="K103" i="23" s="1"/>
  <c r="G124" i="23" s="1"/>
  <c r="H87" i="23"/>
  <c r="M87" i="23" s="1"/>
  <c r="H88" i="23"/>
  <c r="M88" i="23" s="1"/>
  <c r="H89" i="23"/>
  <c r="M89" i="23" s="1"/>
  <c r="H90" i="23"/>
  <c r="M90" i="23" s="1"/>
  <c r="F86" i="23"/>
  <c r="J86" i="23"/>
  <c r="K86" i="23" s="1"/>
  <c r="H41" i="23"/>
  <c r="M41" i="23" s="1"/>
  <c r="H42" i="23"/>
  <c r="M42" i="23" s="1"/>
  <c r="H43" i="23"/>
  <c r="M43" i="23" s="1"/>
  <c r="H44" i="23"/>
  <c r="M44" i="23" s="1"/>
  <c r="C306" i="23"/>
  <c r="I293" i="23" s="1"/>
  <c r="I9" i="18"/>
  <c r="J9" i="18"/>
  <c r="K45" i="23"/>
  <c r="F54" i="23"/>
  <c r="J57" i="23"/>
  <c r="K57" i="23" s="1"/>
  <c r="K58" i="23"/>
  <c r="F99" i="23"/>
  <c r="K104" i="23"/>
  <c r="G125" i="23"/>
  <c r="H125" i="23"/>
  <c r="O41" i="23"/>
  <c r="P41" i="23" s="1"/>
  <c r="I66" i="23" s="1"/>
  <c r="O42" i="23"/>
  <c r="P42" i="23" s="1"/>
  <c r="I67" i="23" s="1"/>
  <c r="O43" i="23"/>
  <c r="P43" i="23" s="1"/>
  <c r="I68" i="23" s="1"/>
  <c r="O44" i="23"/>
  <c r="P44" i="23" s="1"/>
  <c r="I69" i="23" s="1"/>
  <c r="P45" i="23"/>
  <c r="I70" i="23"/>
  <c r="O86" i="23"/>
  <c r="P86" i="23" s="1"/>
  <c r="I113" i="23" s="1"/>
  <c r="O87" i="23"/>
  <c r="P87" i="23" s="1"/>
  <c r="I114" i="23" s="1"/>
  <c r="O88" i="23"/>
  <c r="P88" i="23" s="1"/>
  <c r="I115" i="23" s="1"/>
  <c r="O89" i="23"/>
  <c r="P89" i="23" s="1"/>
  <c r="I116" i="23" s="1"/>
  <c r="O90" i="23"/>
  <c r="P90" i="23" s="1"/>
  <c r="I117" i="23" s="1"/>
  <c r="I125" i="23"/>
  <c r="W16" i="12"/>
  <c r="G31" i="21"/>
  <c r="AC86" i="17"/>
  <c r="AC126" i="17"/>
  <c r="AD86" i="17"/>
  <c r="AD126" i="17"/>
  <c r="S107" i="12"/>
  <c r="J21" i="12"/>
  <c r="C63" i="19"/>
  <c r="L40" i="19"/>
  <c r="L41" i="19"/>
  <c r="L42" i="19"/>
  <c r="M42" i="19" s="1"/>
  <c r="C24" i="19"/>
  <c r="T76" i="15"/>
  <c r="F40" i="23"/>
  <c r="J40" i="23"/>
  <c r="K40" i="23" s="1"/>
  <c r="K91" i="23"/>
  <c r="P91" i="23"/>
  <c r="T75" i="15"/>
  <c r="B142" i="23"/>
  <c r="F313" i="23"/>
  <c r="I292" i="23"/>
  <c r="F292" i="23"/>
  <c r="L289" i="23"/>
  <c r="J119" i="23"/>
  <c r="B125" i="23"/>
  <c r="B124" i="23"/>
  <c r="B123" i="23"/>
  <c r="B122" i="23"/>
  <c r="B121" i="23"/>
  <c r="B120" i="23"/>
  <c r="B118" i="23"/>
  <c r="B117" i="23"/>
  <c r="B116" i="23"/>
  <c r="B115" i="23"/>
  <c r="B114" i="23"/>
  <c r="B113" i="23"/>
  <c r="H103" i="23"/>
  <c r="F103" i="23"/>
  <c r="H102" i="23"/>
  <c r="F102" i="23"/>
  <c r="H101" i="23"/>
  <c r="F101" i="23"/>
  <c r="H100" i="23"/>
  <c r="F100" i="23"/>
  <c r="H99" i="23"/>
  <c r="B38" i="23"/>
  <c r="B84" i="23"/>
  <c r="B97" i="23"/>
  <c r="L90" i="23"/>
  <c r="F90" i="23"/>
  <c r="L89" i="23"/>
  <c r="F89" i="23"/>
  <c r="L88" i="23"/>
  <c r="F88" i="23"/>
  <c r="L87" i="23"/>
  <c r="F87" i="23"/>
  <c r="V86" i="23"/>
  <c r="L86" i="23"/>
  <c r="H38" i="23"/>
  <c r="H84" i="23"/>
  <c r="B77" i="23"/>
  <c r="B76" i="23"/>
  <c r="B75" i="23"/>
  <c r="B74" i="23"/>
  <c r="B73" i="23"/>
  <c r="B72" i="23"/>
  <c r="B70" i="23"/>
  <c r="B69" i="23"/>
  <c r="B68" i="23"/>
  <c r="B67" i="23"/>
  <c r="B66" i="23"/>
  <c r="B65" i="23"/>
  <c r="H57" i="23"/>
  <c r="F57" i="23"/>
  <c r="H56" i="23"/>
  <c r="F56" i="23"/>
  <c r="H55" i="23"/>
  <c r="F55" i="23"/>
  <c r="H54" i="23"/>
  <c r="H53" i="23"/>
  <c r="B51" i="23"/>
  <c r="L44" i="23"/>
  <c r="F44" i="23"/>
  <c r="L43" i="23"/>
  <c r="F43" i="23"/>
  <c r="L42" i="23"/>
  <c r="F42" i="23"/>
  <c r="L41" i="23"/>
  <c r="F41" i="23"/>
  <c r="AC80" i="17"/>
  <c r="Z114" i="17"/>
  <c r="Z115" i="17"/>
  <c r="Z116" i="17"/>
  <c r="Z117" i="17"/>
  <c r="Z118" i="17"/>
  <c r="Z119" i="17"/>
  <c r="Z120" i="17"/>
  <c r="Z121" i="17"/>
  <c r="Z122" i="17"/>
  <c r="Z123" i="17"/>
  <c r="Z124" i="17"/>
  <c r="Z125" i="17"/>
  <c r="Z126" i="17"/>
  <c r="Z127" i="17"/>
  <c r="Z128" i="17"/>
  <c r="Z129" i="17"/>
  <c r="Z130" i="17"/>
  <c r="AC113" i="17"/>
  <c r="AD113" i="17"/>
  <c r="AC114" i="17"/>
  <c r="AD114" i="17"/>
  <c r="AC115" i="17"/>
  <c r="AD115" i="17"/>
  <c r="AC116" i="17"/>
  <c r="AD116" i="17"/>
  <c r="AC117" i="17"/>
  <c r="AD117" i="17"/>
  <c r="AC118" i="17"/>
  <c r="AD118" i="17"/>
  <c r="AC119" i="17"/>
  <c r="AD119" i="17"/>
  <c r="AC120" i="17"/>
  <c r="AD120" i="17"/>
  <c r="AC121" i="17"/>
  <c r="AD121" i="17"/>
  <c r="AC122" i="17"/>
  <c r="AD122" i="17"/>
  <c r="AC123" i="17"/>
  <c r="AD123" i="17"/>
  <c r="AC124" i="17"/>
  <c r="AD124" i="17"/>
  <c r="AC125" i="17"/>
  <c r="AD125" i="17"/>
  <c r="AC127" i="17"/>
  <c r="AD127" i="17"/>
  <c r="AC128" i="17"/>
  <c r="AD128" i="17"/>
  <c r="AC129" i="17"/>
  <c r="AD129" i="17"/>
  <c r="AC130" i="17"/>
  <c r="AD130" i="17"/>
  <c r="Z113" i="17"/>
  <c r="N24" i="22"/>
  <c r="I27" i="12"/>
  <c r="J27" i="12"/>
  <c r="E25" i="17"/>
  <c r="F25" i="17"/>
  <c r="E33" i="17"/>
  <c r="F33" i="17"/>
  <c r="I36" i="12"/>
  <c r="J36" i="12"/>
  <c r="S98" i="12"/>
  <c r="S90" i="12"/>
  <c r="T98" i="12"/>
  <c r="T90" i="12"/>
  <c r="S99" i="12"/>
  <c r="T99" i="12"/>
  <c r="S100" i="12"/>
  <c r="T100" i="12"/>
  <c r="S101" i="12"/>
  <c r="T101" i="12"/>
  <c r="W18" i="12"/>
  <c r="W19" i="12"/>
  <c r="N8" i="12"/>
  <c r="N23" i="22"/>
  <c r="M24" i="22"/>
  <c r="Q24" i="22"/>
  <c r="L24" i="22"/>
  <c r="P24" i="22" s="1"/>
  <c r="K24" i="22"/>
  <c r="O24" i="22" s="1"/>
  <c r="I35" i="12"/>
  <c r="J35" i="12"/>
  <c r="J23" i="22"/>
  <c r="M8" i="17"/>
  <c r="K7" i="22" s="1"/>
  <c r="I7" i="22"/>
  <c r="W20" i="12"/>
  <c r="AG15" i="17"/>
  <c r="AG16" i="17"/>
  <c r="AG17" i="17"/>
  <c r="AC73" i="17"/>
  <c r="F14" i="17"/>
  <c r="AD73" i="17"/>
  <c r="AG18" i="17"/>
  <c r="AC74" i="17"/>
  <c r="AD74" i="17"/>
  <c r="AC75" i="17"/>
  <c r="AD75" i="17"/>
  <c r="AC77" i="17"/>
  <c r="AD77" i="17"/>
  <c r="AD71" i="17"/>
  <c r="AC71" i="17"/>
  <c r="Z71" i="17"/>
  <c r="AD131" i="17"/>
  <c r="AC131" i="17"/>
  <c r="Z131" i="17"/>
  <c r="AD112" i="17"/>
  <c r="AC112" i="17"/>
  <c r="Z112" i="17"/>
  <c r="AD111" i="17"/>
  <c r="AC111" i="17"/>
  <c r="Z111" i="17"/>
  <c r="AD110" i="17"/>
  <c r="AC110" i="17"/>
  <c r="Z110" i="17"/>
  <c r="AD109" i="17"/>
  <c r="AC109" i="17"/>
  <c r="Z109" i="17"/>
  <c r="AD108" i="17"/>
  <c r="AC108" i="17"/>
  <c r="Z108" i="17"/>
  <c r="AD107" i="17"/>
  <c r="AC107" i="17"/>
  <c r="Z107" i="17"/>
  <c r="AD106" i="17"/>
  <c r="AC106" i="17"/>
  <c r="Z106" i="17"/>
  <c r="AD105" i="17"/>
  <c r="AC105" i="17"/>
  <c r="Z105" i="17"/>
  <c r="AD104" i="17"/>
  <c r="AC104" i="17"/>
  <c r="Z104" i="17"/>
  <c r="AD103" i="17"/>
  <c r="AC103" i="17"/>
  <c r="Z103" i="17"/>
  <c r="AD102" i="17"/>
  <c r="AC102" i="17"/>
  <c r="Z102" i="17"/>
  <c r="AD101" i="17"/>
  <c r="AC101" i="17"/>
  <c r="Z101" i="17"/>
  <c r="AD100" i="17"/>
  <c r="AC100" i="17"/>
  <c r="Z100" i="17"/>
  <c r="AD99" i="17"/>
  <c r="AC99" i="17"/>
  <c r="Z99" i="17"/>
  <c r="AD98" i="17"/>
  <c r="AC98" i="17"/>
  <c r="Z98" i="17"/>
  <c r="AD97" i="17"/>
  <c r="AC97" i="17"/>
  <c r="Z97" i="17"/>
  <c r="AD96" i="17"/>
  <c r="AC96" i="17"/>
  <c r="Z96" i="17"/>
  <c r="AD95" i="17"/>
  <c r="AC95" i="17"/>
  <c r="Z95" i="17"/>
  <c r="AD94" i="17"/>
  <c r="AC94" i="17"/>
  <c r="Z94" i="17"/>
  <c r="AD93" i="17"/>
  <c r="AC93" i="17"/>
  <c r="Z93" i="17"/>
  <c r="AD92" i="17"/>
  <c r="AC92" i="17"/>
  <c r="Z92" i="17"/>
  <c r="AD91" i="17"/>
  <c r="AC91" i="17"/>
  <c r="Z91" i="17"/>
  <c r="AD90" i="17"/>
  <c r="AC90" i="17"/>
  <c r="Z90" i="17"/>
  <c r="AD89" i="17"/>
  <c r="AC89" i="17"/>
  <c r="Z89" i="17"/>
  <c r="AD88" i="17"/>
  <c r="AC88" i="17"/>
  <c r="Z88" i="17"/>
  <c r="AD87" i="17"/>
  <c r="AC87" i="17"/>
  <c r="Z87" i="17"/>
  <c r="Z86" i="17"/>
  <c r="AD85" i="17"/>
  <c r="AC85" i="17"/>
  <c r="Z85" i="17"/>
  <c r="AD84" i="17"/>
  <c r="AC84" i="17"/>
  <c r="Z84" i="17"/>
  <c r="AD83" i="17"/>
  <c r="AC83" i="17"/>
  <c r="Z83" i="17"/>
  <c r="AD82" i="17"/>
  <c r="AC82" i="17"/>
  <c r="Z82" i="17"/>
  <c r="AD81" i="17"/>
  <c r="AC81" i="17"/>
  <c r="Z81" i="17"/>
  <c r="AD80" i="17"/>
  <c r="Z80" i="17"/>
  <c r="AD79" i="17"/>
  <c r="AC79" i="17"/>
  <c r="Z79" i="17"/>
  <c r="AD78" i="17"/>
  <c r="AC78" i="17"/>
  <c r="Z78" i="17"/>
  <c r="Z77" i="17"/>
  <c r="AD76" i="17"/>
  <c r="AC76" i="17"/>
  <c r="Z76" i="17"/>
  <c r="Z75" i="17"/>
  <c r="Z74" i="17"/>
  <c r="Z73" i="17"/>
  <c r="M28" i="16"/>
  <c r="J33" i="10" s="1"/>
  <c r="J34" i="21" s="1"/>
  <c r="M30" i="16"/>
  <c r="M31" i="16"/>
  <c r="J36" i="10"/>
  <c r="J37" i="21" s="1"/>
  <c r="J38" i="21"/>
  <c r="J32" i="21"/>
  <c r="J31" i="21"/>
  <c r="J30" i="21"/>
  <c r="J29" i="21"/>
  <c r="J28" i="21"/>
  <c r="J27" i="21"/>
  <c r="J26" i="21"/>
  <c r="J24" i="21"/>
  <c r="J23" i="21"/>
  <c r="I38" i="21"/>
  <c r="I37" i="21"/>
  <c r="I36" i="21"/>
  <c r="I35" i="21"/>
  <c r="I34" i="21"/>
  <c r="I32" i="21"/>
  <c r="I31" i="21"/>
  <c r="I30" i="21"/>
  <c r="I29" i="21"/>
  <c r="I28" i="21"/>
  <c r="I27" i="21"/>
  <c r="I26" i="21"/>
  <c r="I24" i="21"/>
  <c r="I23" i="21"/>
  <c r="G49" i="17"/>
  <c r="I22" i="10" s="1"/>
  <c r="I23" i="10" s="1"/>
  <c r="G50" i="12"/>
  <c r="I25" i="10"/>
  <c r="I26" i="10" s="1"/>
  <c r="K13" i="14"/>
  <c r="I29" i="10"/>
  <c r="K10" i="11"/>
  <c r="E15" i="11"/>
  <c r="I30" i="10"/>
  <c r="K9" i="18"/>
  <c r="G30" i="18"/>
  <c r="I31" i="10" s="1"/>
  <c r="L28" i="16"/>
  <c r="I33" i="10" s="1"/>
  <c r="L29" i="16"/>
  <c r="I34" i="10" s="1"/>
  <c r="L30" i="16"/>
  <c r="I35" i="10"/>
  <c r="L31" i="16"/>
  <c r="I36" i="10"/>
  <c r="J26" i="15"/>
  <c r="D30" i="15" s="1"/>
  <c r="I38" i="10" s="1"/>
  <c r="B22" i="21"/>
  <c r="C23" i="21"/>
  <c r="C24" i="21"/>
  <c r="B25" i="21"/>
  <c r="C26" i="21"/>
  <c r="C27" i="21"/>
  <c r="C28" i="21"/>
  <c r="C29" i="21"/>
  <c r="B30" i="21"/>
  <c r="B31" i="21"/>
  <c r="B32" i="21"/>
  <c r="B33" i="21"/>
  <c r="C34" i="21"/>
  <c r="C35" i="21"/>
  <c r="C36" i="21"/>
  <c r="C37" i="21"/>
  <c r="B38" i="21"/>
  <c r="C74" i="19"/>
  <c r="D62" i="19"/>
  <c r="C41" i="19"/>
  <c r="C42" i="19"/>
  <c r="N91" i="16"/>
  <c r="C40" i="19"/>
  <c r="Q101" i="16"/>
  <c r="R101" i="16"/>
  <c r="Q106" i="16"/>
  <c r="R106" i="16"/>
  <c r="Q102" i="16"/>
  <c r="R102" i="16"/>
  <c r="N102" i="16"/>
  <c r="N101" i="16"/>
  <c r="I14" i="16"/>
  <c r="I22" i="16"/>
  <c r="T73" i="15"/>
  <c r="T74" i="15"/>
  <c r="J17" i="18"/>
  <c r="J25" i="18"/>
  <c r="D38" i="16"/>
  <c r="D71" i="19" s="1"/>
  <c r="D36" i="16"/>
  <c r="D69" i="19" s="1"/>
  <c r="D37" i="16"/>
  <c r="D70" i="19"/>
  <c r="D35" i="16"/>
  <c r="D68" i="19"/>
  <c r="C33" i="10"/>
  <c r="C34" i="10"/>
  <c r="C35" i="10"/>
  <c r="C36" i="10"/>
  <c r="R159" i="16"/>
  <c r="Q159" i="16"/>
  <c r="N159" i="16"/>
  <c r="R158" i="16"/>
  <c r="Q158" i="16"/>
  <c r="N158" i="16"/>
  <c r="R157" i="16"/>
  <c r="Q157" i="16"/>
  <c r="N157" i="16"/>
  <c r="R156" i="16"/>
  <c r="Q156" i="16"/>
  <c r="N156" i="16"/>
  <c r="R155" i="16"/>
  <c r="Q155" i="16"/>
  <c r="N155" i="16"/>
  <c r="R154" i="16"/>
  <c r="Q154" i="16"/>
  <c r="N154" i="16"/>
  <c r="R153" i="16"/>
  <c r="Q153" i="16"/>
  <c r="N153" i="16"/>
  <c r="R152" i="16"/>
  <c r="Q152" i="16"/>
  <c r="N152" i="16"/>
  <c r="R151" i="16"/>
  <c r="Q151" i="16"/>
  <c r="N151" i="16"/>
  <c r="R150" i="16"/>
  <c r="Q150" i="16"/>
  <c r="N150" i="16"/>
  <c r="R149" i="16"/>
  <c r="Q149" i="16"/>
  <c r="N149" i="16"/>
  <c r="R148" i="16"/>
  <c r="Q148" i="16"/>
  <c r="N148" i="16"/>
  <c r="R147" i="16"/>
  <c r="Q147" i="16"/>
  <c r="N147" i="16"/>
  <c r="R146" i="16"/>
  <c r="Q146" i="16"/>
  <c r="N146" i="16"/>
  <c r="R145" i="16"/>
  <c r="Q145" i="16"/>
  <c r="N145" i="16"/>
  <c r="R144" i="16"/>
  <c r="Q144" i="16"/>
  <c r="N144" i="16"/>
  <c r="R143" i="16"/>
  <c r="Q143" i="16"/>
  <c r="N143" i="16"/>
  <c r="R142" i="16"/>
  <c r="Q142" i="16"/>
  <c r="N142" i="16"/>
  <c r="R141" i="16"/>
  <c r="Q141" i="16"/>
  <c r="N141" i="16"/>
  <c r="R140" i="16"/>
  <c r="Q140" i="16"/>
  <c r="N140" i="16"/>
  <c r="R139" i="16"/>
  <c r="Q139" i="16"/>
  <c r="N139" i="16"/>
  <c r="R138" i="16"/>
  <c r="Q138" i="16"/>
  <c r="N138" i="16"/>
  <c r="R137" i="16"/>
  <c r="Q137" i="16"/>
  <c r="N137" i="16"/>
  <c r="R136" i="16"/>
  <c r="Q136" i="16"/>
  <c r="N136" i="16"/>
  <c r="R135" i="16"/>
  <c r="Q135" i="16"/>
  <c r="N135" i="16"/>
  <c r="R134" i="16"/>
  <c r="Q134" i="16"/>
  <c r="N134" i="16"/>
  <c r="R133" i="16"/>
  <c r="Q133" i="16"/>
  <c r="N133" i="16"/>
  <c r="R132" i="16"/>
  <c r="Q132" i="16"/>
  <c r="N132" i="16"/>
  <c r="R131" i="16"/>
  <c r="Q131" i="16"/>
  <c r="N131" i="16"/>
  <c r="R130" i="16"/>
  <c r="Q130" i="16"/>
  <c r="N130" i="16"/>
  <c r="R129" i="16"/>
  <c r="Q129" i="16"/>
  <c r="N129" i="16"/>
  <c r="R128" i="16"/>
  <c r="Q128" i="16"/>
  <c r="N128" i="16"/>
  <c r="R127" i="16"/>
  <c r="Q127" i="16"/>
  <c r="N127" i="16"/>
  <c r="R126" i="16"/>
  <c r="Q126" i="16"/>
  <c r="N126" i="16"/>
  <c r="R125" i="16"/>
  <c r="Q125" i="16"/>
  <c r="N125" i="16"/>
  <c r="R124" i="16"/>
  <c r="Q124" i="16"/>
  <c r="N124" i="16"/>
  <c r="R123" i="16"/>
  <c r="Q123" i="16"/>
  <c r="N123" i="16"/>
  <c r="R122" i="16"/>
  <c r="Q122" i="16"/>
  <c r="N122" i="16"/>
  <c r="R121" i="16"/>
  <c r="Q121" i="16"/>
  <c r="N121" i="16"/>
  <c r="R120" i="16"/>
  <c r="Q120" i="16"/>
  <c r="N120" i="16"/>
  <c r="R119" i="16"/>
  <c r="Q119" i="16"/>
  <c r="N119" i="16"/>
  <c r="R118" i="16"/>
  <c r="Q118" i="16"/>
  <c r="N118" i="16"/>
  <c r="R117" i="16"/>
  <c r="Q117" i="16"/>
  <c r="N117" i="16"/>
  <c r="R116" i="16"/>
  <c r="Q116" i="16"/>
  <c r="N116" i="16"/>
  <c r="R115" i="16"/>
  <c r="Q115" i="16"/>
  <c r="N115" i="16"/>
  <c r="R114" i="16"/>
  <c r="Q114" i="16"/>
  <c r="N114" i="16"/>
  <c r="R113" i="16"/>
  <c r="Q113" i="16"/>
  <c r="N113" i="16"/>
  <c r="R112" i="16"/>
  <c r="Q112" i="16"/>
  <c r="N112" i="16"/>
  <c r="R111" i="16"/>
  <c r="Q111" i="16"/>
  <c r="N111" i="16"/>
  <c r="R110" i="16"/>
  <c r="Q110" i="16"/>
  <c r="N110" i="16"/>
  <c r="R109" i="16"/>
  <c r="Q109" i="16"/>
  <c r="N109" i="16"/>
  <c r="R108" i="16"/>
  <c r="Q108" i="16"/>
  <c r="N108" i="16"/>
  <c r="R107" i="16"/>
  <c r="Q107" i="16"/>
  <c r="N107" i="16"/>
  <c r="N106" i="16"/>
  <c r="R105" i="16"/>
  <c r="Q105" i="16"/>
  <c r="N105" i="16"/>
  <c r="R104" i="16"/>
  <c r="Q104" i="16"/>
  <c r="N104" i="16"/>
  <c r="R103" i="16"/>
  <c r="Q103" i="16"/>
  <c r="N103" i="16"/>
  <c r="R100" i="16"/>
  <c r="Q100" i="16"/>
  <c r="N100" i="16"/>
  <c r="R99" i="16"/>
  <c r="Q99" i="16"/>
  <c r="N99" i="16"/>
  <c r="R98" i="16"/>
  <c r="Q98" i="16"/>
  <c r="N98" i="16"/>
  <c r="R97" i="16"/>
  <c r="Q97" i="16"/>
  <c r="N97" i="16"/>
  <c r="R96" i="16"/>
  <c r="Q96" i="16"/>
  <c r="N96" i="16"/>
  <c r="R95" i="16"/>
  <c r="Q95" i="16"/>
  <c r="N95" i="16"/>
  <c r="R94" i="16"/>
  <c r="Q94" i="16"/>
  <c r="N94" i="16"/>
  <c r="R93" i="16"/>
  <c r="Q93" i="16"/>
  <c r="N93" i="16"/>
  <c r="R92" i="16"/>
  <c r="Q92" i="16"/>
  <c r="N92" i="16"/>
  <c r="Q89" i="16"/>
  <c r="N89" i="16"/>
  <c r="K27" i="16"/>
  <c r="D22" i="16"/>
  <c r="I18" i="16"/>
  <c r="H18" i="16"/>
  <c r="T77" i="15"/>
  <c r="S77" i="15"/>
  <c r="P77" i="15"/>
  <c r="S76" i="15"/>
  <c r="P76" i="15"/>
  <c r="S75" i="15"/>
  <c r="P75" i="15"/>
  <c r="S74" i="15"/>
  <c r="P74" i="15"/>
  <c r="S73" i="15"/>
  <c r="P73" i="15"/>
  <c r="T71" i="15"/>
  <c r="S71" i="15"/>
  <c r="P71" i="15"/>
  <c r="I25" i="15"/>
  <c r="B24" i="15"/>
  <c r="E20" i="15"/>
  <c r="E19" i="15"/>
  <c r="E18" i="15"/>
  <c r="E13" i="15"/>
  <c r="E12" i="15"/>
  <c r="E11" i="15"/>
  <c r="S91" i="12"/>
  <c r="S92" i="12"/>
  <c r="T92" i="12"/>
  <c r="C27" i="10"/>
  <c r="I43" i="12"/>
  <c r="J43" i="12"/>
  <c r="H43" i="12"/>
  <c r="H45" i="12" s="1"/>
  <c r="H10" i="12"/>
  <c r="M10" i="12" s="1"/>
  <c r="H27" i="12"/>
  <c r="H28" i="12" s="1"/>
  <c r="J45" i="12"/>
  <c r="I45" i="12"/>
  <c r="F45" i="12"/>
  <c r="J44" i="12"/>
  <c r="I44" i="12"/>
  <c r="F44" i="12"/>
  <c r="F43" i="12"/>
  <c r="F37" i="12"/>
  <c r="F36" i="12"/>
  <c r="F35" i="12"/>
  <c r="F28" i="12"/>
  <c r="F29" i="12"/>
  <c r="F27" i="12"/>
  <c r="N10" i="12"/>
  <c r="H35" i="12"/>
  <c r="H37" i="12" s="1"/>
  <c r="J37" i="12"/>
  <c r="I37" i="12"/>
  <c r="H36" i="12"/>
  <c r="J28" i="12"/>
  <c r="J29" i="12"/>
  <c r="I28" i="12"/>
  <c r="I29" i="12"/>
  <c r="H29" i="12"/>
  <c r="I9" i="12"/>
  <c r="I10" i="12" s="1"/>
  <c r="P91" i="12"/>
  <c r="T91" i="12"/>
  <c r="P92" i="12"/>
  <c r="P93" i="12"/>
  <c r="S93" i="12"/>
  <c r="T93" i="12"/>
  <c r="P94" i="12"/>
  <c r="S94" i="12"/>
  <c r="T94" i="12"/>
  <c r="P95" i="12"/>
  <c r="S95" i="12"/>
  <c r="T95" i="12"/>
  <c r="P96" i="12"/>
  <c r="S96" i="12"/>
  <c r="T96" i="12"/>
  <c r="P97" i="12"/>
  <c r="S97" i="12"/>
  <c r="T97" i="12"/>
  <c r="P98" i="12"/>
  <c r="P99" i="12"/>
  <c r="P100" i="12"/>
  <c r="P101" i="12"/>
  <c r="P102" i="12"/>
  <c r="S102" i="12"/>
  <c r="T102" i="12"/>
  <c r="P103" i="12"/>
  <c r="S103" i="12"/>
  <c r="T103" i="12"/>
  <c r="P104" i="12"/>
  <c r="S104" i="12"/>
  <c r="T104" i="12"/>
  <c r="P105" i="12"/>
  <c r="S105" i="12"/>
  <c r="T105" i="12"/>
  <c r="P106" i="12"/>
  <c r="S106" i="12"/>
  <c r="T106" i="12"/>
  <c r="P107" i="12"/>
  <c r="T107" i="12"/>
  <c r="P108" i="12"/>
  <c r="S108" i="12"/>
  <c r="T108" i="12"/>
  <c r="P109" i="12"/>
  <c r="S109" i="12"/>
  <c r="T109" i="12"/>
  <c r="P110" i="12"/>
  <c r="S110" i="12"/>
  <c r="T110" i="12"/>
  <c r="P111" i="12"/>
  <c r="S111" i="12"/>
  <c r="T111" i="12"/>
  <c r="P112" i="12"/>
  <c r="S112" i="12"/>
  <c r="T112" i="12"/>
  <c r="P113" i="12"/>
  <c r="S113" i="12"/>
  <c r="T113" i="12"/>
  <c r="P114" i="12"/>
  <c r="S114" i="12"/>
  <c r="T114" i="12"/>
  <c r="P115" i="12"/>
  <c r="S115" i="12"/>
  <c r="T115" i="12"/>
  <c r="P116" i="12"/>
  <c r="S116" i="12"/>
  <c r="T116" i="12"/>
  <c r="P117" i="12"/>
  <c r="S117" i="12"/>
  <c r="T117" i="12"/>
  <c r="P118" i="12"/>
  <c r="S118" i="12"/>
  <c r="T118" i="12"/>
  <c r="P119" i="12"/>
  <c r="S119" i="12"/>
  <c r="T119" i="12"/>
  <c r="P120" i="12"/>
  <c r="S120" i="12"/>
  <c r="T120" i="12"/>
  <c r="P121" i="12"/>
  <c r="S121" i="12"/>
  <c r="T121" i="12"/>
  <c r="P122" i="12"/>
  <c r="S122" i="12"/>
  <c r="T122" i="12"/>
  <c r="P123" i="12"/>
  <c r="S123" i="12"/>
  <c r="T123" i="12"/>
  <c r="P124" i="12"/>
  <c r="S124" i="12"/>
  <c r="T124" i="12"/>
  <c r="P125" i="12"/>
  <c r="S125" i="12"/>
  <c r="T125" i="12"/>
  <c r="P126" i="12"/>
  <c r="S126" i="12"/>
  <c r="T126" i="12"/>
  <c r="P127" i="12"/>
  <c r="S127" i="12"/>
  <c r="T127" i="12"/>
  <c r="P128" i="12"/>
  <c r="S128" i="12"/>
  <c r="T128" i="12"/>
  <c r="P129" i="12"/>
  <c r="S129" i="12"/>
  <c r="T129" i="12"/>
  <c r="P130" i="12"/>
  <c r="S130" i="12"/>
  <c r="T130" i="12"/>
  <c r="P131" i="12"/>
  <c r="S131" i="12"/>
  <c r="T131" i="12"/>
  <c r="P132" i="12"/>
  <c r="S132" i="12"/>
  <c r="T132" i="12"/>
  <c r="P133" i="12"/>
  <c r="S133" i="12"/>
  <c r="T133" i="12"/>
  <c r="P134" i="12"/>
  <c r="S134" i="12"/>
  <c r="T134" i="12"/>
  <c r="P90" i="12"/>
  <c r="T88" i="12"/>
  <c r="S88" i="12"/>
  <c r="P88" i="12"/>
  <c r="E35" i="17"/>
  <c r="E34" i="17"/>
  <c r="E27" i="17"/>
  <c r="E26" i="17"/>
  <c r="F26" i="17"/>
  <c r="F27" i="17"/>
  <c r="J19" i="17"/>
  <c r="H45" i="17"/>
  <c r="F35" i="17"/>
  <c r="J45" i="17"/>
  <c r="E18" i="14"/>
  <c r="N11" i="12"/>
  <c r="N9" i="12"/>
  <c r="M9" i="17"/>
  <c r="B37" i="10"/>
  <c r="B32" i="10"/>
  <c r="B31" i="10"/>
  <c r="B30" i="10"/>
  <c r="B29" i="10"/>
  <c r="C28" i="10"/>
  <c r="C26" i="10"/>
  <c r="C25" i="10"/>
  <c r="B24" i="10"/>
  <c r="C23" i="10"/>
  <c r="C22" i="10"/>
  <c r="B21" i="10"/>
  <c r="H54" i="17"/>
  <c r="J8" i="18"/>
  <c r="P72" i="18"/>
  <c r="E25" i="18"/>
  <c r="J21" i="18"/>
  <c r="I21" i="18"/>
  <c r="E17" i="18"/>
  <c r="F34" i="17"/>
  <c r="I11" i="12"/>
  <c r="M7" i="12"/>
  <c r="G35" i="17"/>
  <c r="G34" i="17"/>
  <c r="G33" i="17"/>
  <c r="G26" i="17"/>
  <c r="G27" i="17"/>
  <c r="G25" i="17"/>
  <c r="L7" i="17"/>
  <c r="E19" i="17"/>
  <c r="E21" i="12"/>
  <c r="F125" i="23"/>
  <c r="E125" i="23"/>
  <c r="J21" i="15"/>
  <c r="I14" i="17"/>
  <c r="J14" i="17" s="1"/>
  <c r="J125" i="23"/>
  <c r="J35" i="10"/>
  <c r="J36" i="21"/>
  <c r="M29" i="16"/>
  <c r="J34" i="10"/>
  <c r="J35" i="21"/>
  <c r="H86" i="23"/>
  <c r="M86" i="23" s="1"/>
  <c r="D14" i="16"/>
  <c r="O40" i="23"/>
  <c r="P40" i="23" s="1"/>
  <c r="I65" i="23" s="1"/>
  <c r="H40" i="23"/>
  <c r="M40" i="23" s="1"/>
  <c r="L40" i="23"/>
  <c r="V40" i="23"/>
  <c r="E31" i="22"/>
  <c r="F31" i="22"/>
  <c r="J31" i="22"/>
  <c r="N31" i="22" s="1"/>
  <c r="E29" i="22"/>
  <c r="F29" i="22" s="1"/>
  <c r="E30" i="22"/>
  <c r="F30" i="22" s="1"/>
  <c r="E28" i="22"/>
  <c r="F28" i="22"/>
  <c r="E26" i="22"/>
  <c r="F26" i="22"/>
  <c r="J26" i="22"/>
  <c r="N26" i="22"/>
  <c r="E140" i="23"/>
  <c r="Q37" i="21"/>
  <c r="Q36" i="21"/>
  <c r="E139" i="23"/>
  <c r="E137" i="23"/>
  <c r="E138" i="23"/>
  <c r="E136" i="23"/>
  <c r="H76" i="23" l="1"/>
  <c r="F76" i="23"/>
  <c r="E76" i="23"/>
  <c r="I76" i="23"/>
  <c r="G76" i="23"/>
  <c r="J20" i="17"/>
  <c r="F9" i="22"/>
  <c r="J33" i="22"/>
  <c r="N33" i="22" s="1"/>
  <c r="J32" i="22"/>
  <c r="N32" i="22" s="1"/>
  <c r="J30" i="22"/>
  <c r="N30" i="22" s="1"/>
  <c r="F25" i="22"/>
  <c r="J29" i="22"/>
  <c r="N29" i="22" s="1"/>
  <c r="J22" i="12"/>
  <c r="I15" i="16"/>
  <c r="G40" i="19"/>
  <c r="M40" i="19" s="1"/>
  <c r="M43" i="19" s="1"/>
  <c r="H31" i="18"/>
  <c r="J36" i="22"/>
  <c r="N36" i="22" s="1"/>
  <c r="J35" i="22"/>
  <c r="N35" i="22" s="1"/>
  <c r="F35" i="16"/>
  <c r="I28" i="10"/>
  <c r="I27" i="10"/>
  <c r="M41" i="19"/>
  <c r="J14" i="15"/>
  <c r="C30" i="15" s="1"/>
  <c r="F38" i="10" s="1"/>
  <c r="H38" i="10" s="1"/>
  <c r="J18" i="18"/>
  <c r="G31" i="18" s="1"/>
  <c r="F31" i="10" s="1"/>
  <c r="H31" i="10" s="1"/>
  <c r="E34" i="22"/>
  <c r="F34" i="22" s="1"/>
  <c r="E15" i="22"/>
  <c r="F15" i="22" s="1"/>
  <c r="E11" i="22"/>
  <c r="F11" i="22" s="1"/>
  <c r="D39" i="16"/>
  <c r="H44" i="12"/>
  <c r="E27" i="22"/>
  <c r="F27" i="22" s="1"/>
  <c r="J28" i="22"/>
  <c r="N28" i="22" s="1"/>
  <c r="E16" i="22"/>
  <c r="F16" i="22" s="1"/>
  <c r="H14" i="21"/>
  <c r="I299" i="23"/>
  <c r="I303" i="23"/>
  <c r="G122" i="23"/>
  <c r="I122" i="23"/>
  <c r="G68" i="23"/>
  <c r="F68" i="23"/>
  <c r="G123" i="23"/>
  <c r="I123" i="23"/>
  <c r="E123" i="23"/>
  <c r="F297" i="23"/>
  <c r="H122" i="23"/>
  <c r="F122" i="23"/>
  <c r="I300" i="23"/>
  <c r="E122" i="23"/>
  <c r="F74" i="23"/>
  <c r="E74" i="23"/>
  <c r="F69" i="23"/>
  <c r="I120" i="23"/>
  <c r="E69" i="23"/>
  <c r="H69" i="23"/>
  <c r="E121" i="23"/>
  <c r="H121" i="23"/>
  <c r="E124" i="23"/>
  <c r="G75" i="23"/>
  <c r="H75" i="23"/>
  <c r="F75" i="23"/>
  <c r="E75" i="23"/>
  <c r="I75" i="23"/>
  <c r="E113" i="23"/>
  <c r="G113" i="23"/>
  <c r="F113" i="23"/>
  <c r="H113" i="23"/>
  <c r="G67" i="23"/>
  <c r="E67" i="23"/>
  <c r="F67" i="23"/>
  <c r="H67" i="23"/>
  <c r="G66" i="23"/>
  <c r="E66" i="23"/>
  <c r="F66" i="23"/>
  <c r="H66" i="23"/>
  <c r="H65" i="23"/>
  <c r="F65" i="23"/>
  <c r="E65" i="23"/>
  <c r="G65" i="23"/>
  <c r="F116" i="23"/>
  <c r="G116" i="23"/>
  <c r="E116" i="23"/>
  <c r="H116" i="23"/>
  <c r="F72" i="23"/>
  <c r="I72" i="23"/>
  <c r="E72" i="23"/>
  <c r="H72" i="23"/>
  <c r="G72" i="23"/>
  <c r="E117" i="23"/>
  <c r="H117" i="23"/>
  <c r="G117" i="23"/>
  <c r="F117" i="23"/>
  <c r="F115" i="23"/>
  <c r="E115" i="23"/>
  <c r="H115" i="23"/>
  <c r="G115" i="23"/>
  <c r="F114" i="23"/>
  <c r="H114" i="23"/>
  <c r="G114" i="23"/>
  <c r="E114" i="23"/>
  <c r="F296" i="23"/>
  <c r="F293" i="23"/>
  <c r="G121" i="23"/>
  <c r="F295" i="23"/>
  <c r="H120" i="23"/>
  <c r="I294" i="23"/>
  <c r="F301" i="23"/>
  <c r="F304" i="23"/>
  <c r="I302" i="23"/>
  <c r="F121" i="23"/>
  <c r="I124" i="23"/>
  <c r="I298" i="23"/>
  <c r="F120" i="23"/>
  <c r="E141" i="23"/>
  <c r="F300" i="23"/>
  <c r="H123" i="23"/>
  <c r="G120" i="23"/>
  <c r="H74" i="23"/>
  <c r="F299" i="23"/>
  <c r="F294" i="23"/>
  <c r="G74" i="23"/>
  <c r="G73" i="23"/>
  <c r="I301" i="23"/>
  <c r="I296" i="23"/>
  <c r="I304" i="23"/>
  <c r="H124" i="23"/>
  <c r="I74" i="23"/>
  <c r="F302" i="23"/>
  <c r="C318" i="23"/>
  <c r="I73" i="23"/>
  <c r="F298" i="23"/>
  <c r="F303" i="23"/>
  <c r="F124" i="23"/>
  <c r="I297" i="23"/>
  <c r="I295" i="23"/>
  <c r="H68" i="23"/>
  <c r="E68" i="23"/>
  <c r="E73" i="23"/>
  <c r="H73" i="23"/>
  <c r="F123" i="23"/>
  <c r="J76" i="23" l="1"/>
  <c r="G39" i="19"/>
  <c r="D23" i="19"/>
  <c r="D72" i="19" s="1"/>
  <c r="M39" i="19"/>
  <c r="G51" i="12"/>
  <c r="F25" i="10" s="1"/>
  <c r="H25" i="10" s="1"/>
  <c r="H53" i="12"/>
  <c r="G53" i="12"/>
  <c r="F27" i="10" s="1"/>
  <c r="H27" i="10" s="1"/>
  <c r="H52" i="12"/>
  <c r="G52" i="12"/>
  <c r="F26" i="10" s="1"/>
  <c r="H26" i="10" s="1"/>
  <c r="H54" i="12"/>
  <c r="G54" i="12"/>
  <c r="F28" i="10" s="1"/>
  <c r="H28" i="10" s="1"/>
  <c r="J34" i="22"/>
  <c r="N34" i="22" s="1"/>
  <c r="F17" i="22"/>
  <c r="H50" i="17"/>
  <c r="G52" i="17"/>
  <c r="F23" i="10" s="1"/>
  <c r="H23" i="10" s="1"/>
  <c r="H52" i="17"/>
  <c r="G50" i="17"/>
  <c r="F22" i="10" s="1"/>
  <c r="F37" i="22"/>
  <c r="J25" i="22"/>
  <c r="E37" i="22"/>
  <c r="E17" i="22"/>
  <c r="J27" i="22"/>
  <c r="N27" i="22" s="1"/>
  <c r="C38" i="16"/>
  <c r="F36" i="10" s="1"/>
  <c r="C35" i="16"/>
  <c r="C36" i="16"/>
  <c r="F34" i="10" s="1"/>
  <c r="C37" i="16"/>
  <c r="F35" i="10" s="1"/>
  <c r="F36" i="21" s="1"/>
  <c r="E30" i="15"/>
  <c r="F29" i="21"/>
  <c r="F27" i="21"/>
  <c r="F26" i="21"/>
  <c r="F31" i="21"/>
  <c r="P31" i="21" s="1"/>
  <c r="H31" i="21" s="1"/>
  <c r="F30" i="21"/>
  <c r="P30" i="21" s="1"/>
  <c r="Q30" i="21" s="1"/>
  <c r="G30" i="21" s="1"/>
  <c r="F32" i="21"/>
  <c r="P32" i="21" s="1"/>
  <c r="F38" i="21"/>
  <c r="P38" i="21" s="1"/>
  <c r="D140" i="23" s="1"/>
  <c r="I126" i="23"/>
  <c r="J122" i="23"/>
  <c r="J123" i="23"/>
  <c r="J69" i="23"/>
  <c r="F126" i="23"/>
  <c r="J120" i="23"/>
  <c r="J124" i="23"/>
  <c r="J121" i="23"/>
  <c r="J72" i="23"/>
  <c r="J66" i="23"/>
  <c r="G126" i="23"/>
  <c r="J65" i="23"/>
  <c r="J74" i="23"/>
  <c r="J75" i="23"/>
  <c r="J115" i="23"/>
  <c r="J117" i="23"/>
  <c r="J73" i="23"/>
  <c r="H126" i="23"/>
  <c r="J68" i="23"/>
  <c r="J113" i="23"/>
  <c r="E126" i="23"/>
  <c r="J67" i="23"/>
  <c r="J114" i="23"/>
  <c r="F316" i="23"/>
  <c r="F314" i="23"/>
  <c r="F315" i="23"/>
  <c r="F317" i="23"/>
  <c r="J116" i="23"/>
  <c r="H22" i="10" l="1"/>
  <c r="G15" i="22"/>
  <c r="I15" i="22" s="1"/>
  <c r="K15" i="22" s="1"/>
  <c r="G13" i="22"/>
  <c r="I13" i="22" s="1"/>
  <c r="K13" i="22" s="1"/>
  <c r="H11" i="22"/>
  <c r="J11" i="22" s="1"/>
  <c r="L11" i="22" s="1"/>
  <c r="H9" i="22"/>
  <c r="G14" i="22"/>
  <c r="I14" i="22" s="1"/>
  <c r="K14" i="22" s="1"/>
  <c r="G16" i="22"/>
  <c r="I16" i="22" s="1"/>
  <c r="K16" i="22" s="1"/>
  <c r="H10" i="22"/>
  <c r="J10" i="22" s="1"/>
  <c r="L10" i="22" s="1"/>
  <c r="H14" i="22"/>
  <c r="J14" i="22" s="1"/>
  <c r="L14" i="22" s="1"/>
  <c r="G11" i="22"/>
  <c r="I11" i="22" s="1"/>
  <c r="K11" i="22" s="1"/>
  <c r="G12" i="22"/>
  <c r="I12" i="22" s="1"/>
  <c r="K12" i="22" s="1"/>
  <c r="G9" i="22"/>
  <c r="H13" i="22"/>
  <c r="J13" i="22" s="1"/>
  <c r="L13" i="22" s="1"/>
  <c r="H15" i="22"/>
  <c r="J15" i="22" s="1"/>
  <c r="L15" i="22" s="1"/>
  <c r="H16" i="22"/>
  <c r="J16" i="22" s="1"/>
  <c r="L16" i="22" s="1"/>
  <c r="H12" i="22"/>
  <c r="J12" i="22" s="1"/>
  <c r="L12" i="22" s="1"/>
  <c r="G10" i="22"/>
  <c r="I10" i="22" s="1"/>
  <c r="K10" i="22" s="1"/>
  <c r="G31" i="22"/>
  <c r="K31" i="22" s="1"/>
  <c r="O31" i="22" s="1"/>
  <c r="H34" i="22"/>
  <c r="L34" i="22" s="1"/>
  <c r="P34" i="22" s="1"/>
  <c r="G29" i="22"/>
  <c r="K29" i="22" s="1"/>
  <c r="O29" i="22" s="1"/>
  <c r="G35" i="22"/>
  <c r="K35" i="22" s="1"/>
  <c r="O35" i="22" s="1"/>
  <c r="I36" i="22"/>
  <c r="M36" i="22" s="1"/>
  <c r="Q36" i="22" s="1"/>
  <c r="I25" i="22"/>
  <c r="H25" i="22"/>
  <c r="I32" i="22"/>
  <c r="M32" i="22" s="1"/>
  <c r="Q32" i="22" s="1"/>
  <c r="H30" i="22"/>
  <c r="L30" i="22" s="1"/>
  <c r="P30" i="22" s="1"/>
  <c r="I33" i="22"/>
  <c r="M33" i="22" s="1"/>
  <c r="Q33" i="22" s="1"/>
  <c r="I30" i="22"/>
  <c r="M30" i="22" s="1"/>
  <c r="Q30" i="22" s="1"/>
  <c r="I27" i="22"/>
  <c r="M27" i="22" s="1"/>
  <c r="Q27" i="22" s="1"/>
  <c r="G26" i="22"/>
  <c r="K26" i="22" s="1"/>
  <c r="O26" i="22" s="1"/>
  <c r="H28" i="22"/>
  <c r="L28" i="22" s="1"/>
  <c r="P28" i="22" s="1"/>
  <c r="I31" i="22"/>
  <c r="M31" i="22" s="1"/>
  <c r="Q31" i="22" s="1"/>
  <c r="I34" i="22"/>
  <c r="M34" i="22" s="1"/>
  <c r="Q34" i="22" s="1"/>
  <c r="G34" i="22"/>
  <c r="K34" i="22" s="1"/>
  <c r="O34" i="22" s="1"/>
  <c r="H33" i="22"/>
  <c r="L33" i="22" s="1"/>
  <c r="P33" i="22" s="1"/>
  <c r="I29" i="22"/>
  <c r="M29" i="22" s="1"/>
  <c r="Q29" i="22" s="1"/>
  <c r="G25" i="22"/>
  <c r="H27" i="22"/>
  <c r="L27" i="22" s="1"/>
  <c r="P27" i="22" s="1"/>
  <c r="G33" i="22"/>
  <c r="K33" i="22" s="1"/>
  <c r="O33" i="22" s="1"/>
  <c r="G28" i="22"/>
  <c r="K28" i="22" s="1"/>
  <c r="O28" i="22" s="1"/>
  <c r="H29" i="22"/>
  <c r="L29" i="22" s="1"/>
  <c r="P29" i="22" s="1"/>
  <c r="H31" i="22"/>
  <c r="L31" i="22" s="1"/>
  <c r="P31" i="22" s="1"/>
  <c r="I35" i="22"/>
  <c r="M35" i="22" s="1"/>
  <c r="Q35" i="22" s="1"/>
  <c r="G30" i="22"/>
  <c r="K30" i="22" s="1"/>
  <c r="O30" i="22" s="1"/>
  <c r="G27" i="22"/>
  <c r="K27" i="22" s="1"/>
  <c r="O27" i="22" s="1"/>
  <c r="H32" i="22"/>
  <c r="L32" i="22" s="1"/>
  <c r="P32" i="22" s="1"/>
  <c r="I28" i="22"/>
  <c r="M28" i="22" s="1"/>
  <c r="Q28" i="22" s="1"/>
  <c r="G32" i="22"/>
  <c r="K32" i="22" s="1"/>
  <c r="O32" i="22" s="1"/>
  <c r="H36" i="22"/>
  <c r="L36" i="22" s="1"/>
  <c r="P36" i="22" s="1"/>
  <c r="G36" i="22"/>
  <c r="K36" i="22" s="1"/>
  <c r="O36" i="22" s="1"/>
  <c r="H35" i="22"/>
  <c r="L35" i="22" s="1"/>
  <c r="P35" i="22" s="1"/>
  <c r="I26" i="22"/>
  <c r="M26" i="22" s="1"/>
  <c r="Q26" i="22" s="1"/>
  <c r="H26" i="22"/>
  <c r="L26" i="22" s="1"/>
  <c r="P26" i="22" s="1"/>
  <c r="J37" i="22"/>
  <c r="N25" i="22"/>
  <c r="N37" i="22" s="1"/>
  <c r="O26" i="21" s="1"/>
  <c r="P26" i="21" s="1"/>
  <c r="F35" i="21"/>
  <c r="C39" i="16"/>
  <c r="F33" i="10"/>
  <c r="F37" i="21"/>
  <c r="F23" i="21"/>
  <c r="F28" i="21"/>
  <c r="F24" i="21"/>
  <c r="H30" i="21"/>
  <c r="D139" i="23"/>
  <c r="Q38" i="21"/>
  <c r="G38" i="21" s="1"/>
  <c r="J126" i="23"/>
  <c r="F34" i="21" l="1"/>
  <c r="I37" i="22"/>
  <c r="M25" i="22"/>
  <c r="C69" i="19"/>
  <c r="G34" i="10" s="1"/>
  <c r="C68" i="19"/>
  <c r="G33" i="10" s="1"/>
  <c r="D63" i="19"/>
  <c r="C72" i="19" s="1"/>
  <c r="D24" i="19"/>
  <c r="C71" i="19"/>
  <c r="G36" i="10" s="1"/>
  <c r="C70" i="19"/>
  <c r="G35" i="10" s="1"/>
  <c r="H17" i="22"/>
  <c r="J9" i="22"/>
  <c r="G37" i="22"/>
  <c r="K25" i="22"/>
  <c r="H37" i="22"/>
  <c r="L25" i="22"/>
  <c r="G17" i="22"/>
  <c r="I9" i="22"/>
  <c r="F39" i="10"/>
  <c r="H38" i="21"/>
  <c r="I17" i="22" l="1"/>
  <c r="K9" i="22"/>
  <c r="K17" i="22" s="1"/>
  <c r="O23" i="21" s="1"/>
  <c r="O36" i="21"/>
  <c r="H35" i="10"/>
  <c r="P25" i="22"/>
  <c r="P37" i="22" s="1"/>
  <c r="O28" i="21" s="1"/>
  <c r="P28" i="21" s="1"/>
  <c r="L37" i="22"/>
  <c r="O37" i="21"/>
  <c r="H36" i="10"/>
  <c r="M37" i="22"/>
  <c r="Q25" i="22"/>
  <c r="Q37" i="22" s="1"/>
  <c r="O29" i="21" s="1"/>
  <c r="P29" i="21" s="1"/>
  <c r="O35" i="21"/>
  <c r="P35" i="21" s="1"/>
  <c r="H34" i="10"/>
  <c r="G39" i="10"/>
  <c r="O34" i="21"/>
  <c r="P34" i="21" s="1"/>
  <c r="O25" i="22"/>
  <c r="O37" i="22" s="1"/>
  <c r="O27" i="21" s="1"/>
  <c r="P27" i="21" s="1"/>
  <c r="K37" i="22"/>
  <c r="L9" i="22"/>
  <c r="L17" i="22" s="1"/>
  <c r="O24" i="21" s="1"/>
  <c r="P24" i="21" s="1"/>
  <c r="J17" i="22"/>
  <c r="H33" i="10"/>
  <c r="F39" i="21"/>
  <c r="D138" i="23" l="1"/>
  <c r="Q35" i="21"/>
  <c r="G35" i="21" s="1"/>
  <c r="Q32" i="21"/>
  <c r="Q34" i="21"/>
  <c r="G34" i="21" s="1"/>
  <c r="G37" i="21"/>
  <c r="P37" i="21"/>
  <c r="H37" i="21" s="1"/>
  <c r="H39" i="10"/>
  <c r="Q28" i="21"/>
  <c r="G28" i="21" s="1"/>
  <c r="D136" i="23"/>
  <c r="Q27" i="21"/>
  <c r="Q26" i="21"/>
  <c r="Q29" i="21"/>
  <c r="G36" i="21"/>
  <c r="P36" i="21"/>
  <c r="H36" i="21" s="1"/>
  <c r="O39" i="21"/>
  <c r="P23" i="21"/>
  <c r="H34" i="21" l="1"/>
  <c r="H35" i="21"/>
  <c r="H27" i="21"/>
  <c r="G27" i="21"/>
  <c r="D137" i="23"/>
  <c r="C30" i="23"/>
  <c r="I77" i="23" s="1"/>
  <c r="I78" i="23" s="1"/>
  <c r="C140" i="23" s="1"/>
  <c r="Q24" i="21"/>
  <c r="C20" i="23"/>
  <c r="F70" i="23" s="1"/>
  <c r="C29" i="23"/>
  <c r="F77" i="23" s="1"/>
  <c r="C21" i="23"/>
  <c r="G70" i="23" s="1"/>
  <c r="P39" i="21"/>
  <c r="Q23" i="21"/>
  <c r="C31" i="23"/>
  <c r="G77" i="23" s="1"/>
  <c r="C22" i="23"/>
  <c r="E70" i="23" s="1"/>
  <c r="C19" i="23"/>
  <c r="H70" i="23" s="1"/>
  <c r="C32" i="23"/>
  <c r="E77" i="23" s="1"/>
  <c r="C28" i="23"/>
  <c r="H77" i="23" s="1"/>
  <c r="G29" i="21"/>
  <c r="H29" i="21"/>
  <c r="H28" i="21"/>
  <c r="G32" i="21"/>
  <c r="H32" i="21"/>
  <c r="G26" i="21"/>
  <c r="H26" i="21"/>
  <c r="H78" i="23" l="1"/>
  <c r="C139" i="23" s="1"/>
  <c r="F78" i="23"/>
  <c r="C137" i="23" s="1"/>
  <c r="J70" i="23"/>
  <c r="E78" i="23"/>
  <c r="H23" i="21"/>
  <c r="Q39" i="21"/>
  <c r="G23" i="21"/>
  <c r="G78" i="23"/>
  <c r="C138" i="23" s="1"/>
  <c r="G24" i="21"/>
  <c r="H24" i="21"/>
  <c r="J77" i="23"/>
  <c r="G39" i="21" l="1"/>
  <c r="H39" i="21"/>
  <c r="C136" i="23"/>
  <c r="J78" i="23"/>
</calcChain>
</file>

<file path=xl/sharedStrings.xml><?xml version="1.0" encoding="utf-8"?>
<sst xmlns="http://schemas.openxmlformats.org/spreadsheetml/2006/main" count="2395" uniqueCount="907">
  <si>
    <t>Indexed Amount ($)</t>
  </si>
  <si>
    <t>WUCr (EP)</t>
  </si>
  <si>
    <t>WUCd (EP)</t>
  </si>
  <si>
    <r>
      <t>WUCd = Credit for Delivery Mains</t>
    </r>
    <r>
      <rPr>
        <sz val="10"/>
        <rFont val="Arial"/>
        <family val="2"/>
      </rPr>
      <t xml:space="preserve"> (Policy s12(2))</t>
    </r>
  </si>
  <si>
    <t>WUCm (EP)</t>
  </si>
  <si>
    <r>
      <t>Approved Value</t>
    </r>
    <r>
      <rPr>
        <b/>
        <sz val="10"/>
        <rFont val="Cambria"/>
        <family val="1"/>
      </rPr>
      <t>¹</t>
    </r>
  </si>
  <si>
    <t>¹ Works relevant to the development or previous contributions paid relevant to the subject land</t>
  </si>
  <si>
    <t>Source works ($Hs)</t>
  </si>
  <si>
    <t>Reservoirs ($Hr)</t>
  </si>
  <si>
    <t>Delivery mains ($Hd)</t>
  </si>
  <si>
    <t>Distribution mains ($Hm)</t>
  </si>
  <si>
    <t>= $Rs x WU</t>
  </si>
  <si>
    <t>= $Rr x (WU - WUCr)</t>
  </si>
  <si>
    <t>= $Rd x (WU - WUCd)</t>
  </si>
  <si>
    <t>= $Rm x (WU - WUCm)</t>
  </si>
  <si>
    <r>
      <t>WUCm = Credit for Distribution Mains</t>
    </r>
    <r>
      <rPr>
        <sz val="10"/>
        <rFont val="Arial"/>
        <family val="2"/>
      </rPr>
      <t xml:space="preserve"> &amp; Other works (Policy s12(2))</t>
    </r>
  </si>
  <si>
    <t>(from 30/6/09)</t>
  </si>
  <si>
    <t>A = Demand</t>
  </si>
  <si>
    <t>EDU's</t>
  </si>
  <si>
    <t>B = Existing Lawful Use</t>
  </si>
  <si>
    <t>SWHR = Developer Contribution Rate</t>
  </si>
  <si>
    <t>$/EDU</t>
  </si>
  <si>
    <t>Developer Contribution Charge</t>
  </si>
  <si>
    <t>(A - B) x SWHR =</t>
  </si>
  <si>
    <t>Base Rates (2008)</t>
  </si>
  <si>
    <t>Location</t>
  </si>
  <si>
    <t>Reconfiguration Equivalencies</t>
  </si>
  <si>
    <t>MCU Equivalencies</t>
  </si>
  <si>
    <t>Precinct Type</t>
  </si>
  <si>
    <t>Land use</t>
  </si>
  <si>
    <t>Single dwelling unit</t>
  </si>
  <si>
    <t>Multiple dwelling units</t>
  </si>
  <si>
    <t>400m2 site area</t>
  </si>
  <si>
    <t>Retail</t>
  </si>
  <si>
    <t>Commercial or retail uses</t>
  </si>
  <si>
    <t>Industrial</t>
  </si>
  <si>
    <t>Industrial uses</t>
  </si>
  <si>
    <t>HR = Developer Contribution Rate</t>
  </si>
  <si>
    <t>TCC Works</t>
  </si>
  <si>
    <t>TCC Land</t>
  </si>
  <si>
    <t>SCR Works</t>
  </si>
  <si>
    <t>SCR Land</t>
  </si>
  <si>
    <t>Note - Base Rate, CPI &amp; RBCI set per policy, updated as per 'Summary'</t>
  </si>
  <si>
    <t>Developer Contribution Charge (RNH)</t>
  </si>
  <si>
    <t>(A - B) x HR =</t>
  </si>
  <si>
    <t>Reconfiguration of Lot</t>
  </si>
  <si>
    <t>Base Developer Contribution Rates (2006)</t>
  </si>
  <si>
    <t>TCC ($/TDU)</t>
  </si>
  <si>
    <t>SCR ($/TDU)</t>
  </si>
  <si>
    <t>Works</t>
  </si>
  <si>
    <t>Land</t>
  </si>
  <si>
    <t>ROL Equivalencies</t>
  </si>
  <si>
    <t>Accommodation Building</t>
  </si>
  <si>
    <t>room</t>
  </si>
  <si>
    <t>Bed and Breakfast</t>
  </si>
  <si>
    <t>unit</t>
  </si>
  <si>
    <t>lettable room</t>
  </si>
  <si>
    <t>Caravan Park - urban</t>
  </si>
  <si>
    <t>site</t>
  </si>
  <si>
    <t>Caravan Park - rural</t>
  </si>
  <si>
    <t>Caretaker's Residence &lt;120m2 GFA</t>
  </si>
  <si>
    <t>Caretaker's Residence &gt;120m2 GFA</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</si>
  <si>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</si>
  <si>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</si>
  <si>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</si>
  <si>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</si>
  <si>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</si>
  <si>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</si>
  <si>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</si>
  <si>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</si>
  <si>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</si>
  <si>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</si>
  <si>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</si>
  <si>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</si>
  <si>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</si>
  <si>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</si>
  <si>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</si>
  <si>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</si>
  <si>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</si>
  <si>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</si>
  <si>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(Last amended  22/09/2008)</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</si>
  <si>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</si>
  <si>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</si>
  <si>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</si>
  <si>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</si>
  <si>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</si>
  <si>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</si>
  <si>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</si>
  <si>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</si>
  <si>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</si>
  <si>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</si>
  <si>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</si>
  <si>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</si>
  <si>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</si>
  <si>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</si>
  <si>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</si>
  <si>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</si>
  <si>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</si>
  <si>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</si>
  <si>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</si>
  <si>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</si>
  <si>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</si>
  <si>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</si>
  <si>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</si>
  <si>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</si>
  <si>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</si>
  <si>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</si>
  <si>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</si>
  <si>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</si>
  <si>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</si>
  <si>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</si>
  <si>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</si>
  <si>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</si>
  <si>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</si>
  <si>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</si>
  <si>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Relatives Appartment</t>
  </si>
  <si>
    <t>bed room</t>
  </si>
  <si>
    <t>Rural Accommodation Units</t>
  </si>
  <si>
    <t>Rural Dwelling</t>
  </si>
  <si>
    <t>Service Premises</t>
  </si>
  <si>
    <t>Shopping Centre 0 - 10,000m2 GFA</t>
  </si>
  <si>
    <t>Shopping Centre 10,000 - 20,000m2 GFA</t>
  </si>
  <si>
    <t>Shopping Centre 20,000 - 30,000m2 GFA</t>
  </si>
  <si>
    <t>Shopping Centre 30,000 - 40,000m2 GFA</t>
  </si>
  <si>
    <t>Vet Clinic/Vet Hospital</t>
  </si>
  <si>
    <t>Wrecking/Salvage Yard</t>
  </si>
  <si>
    <t>100m² TUA</t>
  </si>
  <si>
    <t>100m² GFA</t>
  </si>
  <si>
    <t>Receipt Code</t>
  </si>
  <si>
    <t>Note</t>
  </si>
  <si>
    <t>RFA = Roofed Floor Area</t>
  </si>
  <si>
    <t>FPA = First Principles Assessment</t>
  </si>
  <si>
    <t>GFA = Gross Floor Area</t>
  </si>
  <si>
    <t>TUA = Total Use Area</t>
  </si>
  <si>
    <t>Summary - Developer Contributions (Thuringowa)</t>
  </si>
  <si>
    <t>Jun '09</t>
  </si>
  <si>
    <t>CON45</t>
  </si>
  <si>
    <t>CON50</t>
  </si>
  <si>
    <t>(Last amended October '09)</t>
  </si>
  <si>
    <t>Water amendment</t>
  </si>
  <si>
    <t>TCC</t>
  </si>
  <si>
    <t>SCR</t>
  </si>
  <si>
    <t>CON75</t>
  </si>
  <si>
    <t>CON80</t>
  </si>
  <si>
    <t>CON1100a</t>
  </si>
  <si>
    <t>CON1100b</t>
  </si>
  <si>
    <t>CON2100a</t>
  </si>
  <si>
    <t>CON2100b</t>
  </si>
  <si>
    <t>Reciept Code</t>
  </si>
  <si>
    <t>Land Use</t>
  </si>
  <si>
    <t>Discount</t>
  </si>
  <si>
    <t>Comment</t>
  </si>
  <si>
    <t>Recognition that Child Care Centres selection is frequently based on proximity to work-home travel route &amp; that new facilities will improve supply &amp; choice &amp; potentially reduce road network demand.</t>
  </si>
  <si>
    <t>Education Establishment (Primary School)</t>
  </si>
  <si>
    <t>Recognition that primary schools are generally local and new facilities will reduce demand on roads network. Also equity considerations as State Schools do not pay infrastructure charges.</t>
  </si>
  <si>
    <t>Education Establishment (Secondary School)</t>
  </si>
  <si>
    <t>Recognition that new secondary school developments, while attracting a wider catchment that may use sectoral/regional roads, will reduce trip length and traffic demand. Also equity considerations as State Schools do not pay infrastructure charges.</t>
  </si>
  <si>
    <t>Medical Centre (small, practitioners = or &lt; 3)</t>
  </si>
  <si>
    <t>Recognition that small medical centres service local communities and new facilities will reduce demand on roads network.</t>
  </si>
  <si>
    <t>Medical Centre (large, practitioners &gt; 3)</t>
  </si>
  <si>
    <t xml:space="preserve">Recognition that new larger medical centre developments, whilst having a larger catchment &amp; therefore placing higher road network demands than smaller centres, still provide some local containment. </t>
  </si>
  <si>
    <t>Function Room (COT)</t>
  </si>
  <si>
    <t>Indoor Recreation (licensed or unlicensed club, TCC)</t>
  </si>
  <si>
    <t>Recognition that new function room developments, whilst having a large catchment &amp; therefore placing significant demand on road networks, do provide some local containment.</t>
  </si>
  <si>
    <t>Recognition that Carwash facilities service local communities and new facilities will significantly reduce demand on roads network.</t>
  </si>
  <si>
    <t>Garden Centre (local)</t>
  </si>
  <si>
    <t>Recognition that local garden centres service local communities and new facilities will reduce demand on road network.</t>
  </si>
  <si>
    <t>Home Based Business</t>
  </si>
  <si>
    <t>Recognition that home based businesses have limited demand on road network.</t>
  </si>
  <si>
    <t>Hotel (non-accommodation component)</t>
  </si>
  <si>
    <t>Recognition that new hotel developments, whilst having a large catchment &amp; therefore placing significant demand on road networks, do provide some local containment.</t>
  </si>
  <si>
    <t>Hospital</t>
  </si>
  <si>
    <t>Recognition that new private hospital developments, whilst having a large catchment &amp; therefore placing additional demand on road networks, do provide some level of local containment.</t>
  </si>
  <si>
    <t>Indoor Recreation (squash or court)</t>
  </si>
  <si>
    <t>Recognition that indoor recreation facilities generally service local communities and new facilities will reduce demand on road network.</t>
  </si>
  <si>
    <t>Indoor Recreation (theatre/cinema)</t>
  </si>
  <si>
    <t>Recognition that theatre/cinema developments, whilst having a large catchment &amp; therefore placing significant demand on road networks, do provide some local containment.</t>
  </si>
  <si>
    <t>Indoor Recreation (gym)</t>
  </si>
  <si>
    <t>Indoor Recreation (other)</t>
  </si>
  <si>
    <t>Outdoor Recreation (squash or court)</t>
  </si>
  <si>
    <t>Recognition that outdoor recreation facilities generally service local communities and new facilities will reduce demand on road network.</t>
  </si>
  <si>
    <t>Outdoor Recreation (lawn bowls)</t>
  </si>
  <si>
    <t>Outdoor Recreation (swimming pool)</t>
  </si>
  <si>
    <t>Outdoor Recreation (clubhouse &lt; 250 sqm total clubhouse floor space &amp; no gaming machine licence)</t>
  </si>
  <si>
    <t>Recognition of the benefit provided by small local community sport and recreation based clubhouses.</t>
  </si>
  <si>
    <t>Office (TCC)</t>
  </si>
  <si>
    <t>Professional Offices (COT)</t>
  </si>
  <si>
    <t>Recognition that office developments, whilst generally having a large catchment &amp; therefore placing significant demand on road networks, do potentially provide some local containment.</t>
  </si>
  <si>
    <t>Place of Worship (TCC)</t>
  </si>
  <si>
    <t>Place of Public Worship (COT)</t>
  </si>
  <si>
    <t>Recognition of the role and nature of recognised religious places of worship.</t>
  </si>
  <si>
    <t>Restaurant (up to 100 seat)</t>
  </si>
  <si>
    <t>Recognition that small restaurants generally service local communities and new developments will improve amenity and reduce demand on road network.</t>
  </si>
  <si>
    <t>Service Industry (TCC)</t>
  </si>
  <si>
    <t>service premises (COT)</t>
  </si>
  <si>
    <t>Recognition that service industries generally serve local communities and new facilities will reduce demand on road network.</t>
  </si>
  <si>
    <t>Service Station (all components)</t>
  </si>
  <si>
    <t>Generally located on, and reliant upon, major arterials. Limited local containment</t>
  </si>
  <si>
    <t>Shop (&lt;600m2 GFA)</t>
  </si>
  <si>
    <t>Recognition that small local shops generally service local communities and new developments will improve amenity and convenience and reduce demand on road network.</t>
  </si>
  <si>
    <t>Shopping Complex (1-10,000m2 GFA) (TCC)</t>
  </si>
  <si>
    <t>Shopping Centre (1 – 10,000m2 GFA) (COT)</t>
  </si>
  <si>
    <t xml:space="preserve">(i) Updated for inflationary adjustment for Jun 2012 indices (ii) corrected error in formula for sewer and water demand calculation
(iii) Provided option for Inflation for Open Space and Car Parking (iv) Corrected water demand rate for Bulk store ( &lt;150m2 and 150-300 m2RFA) </t>
  </si>
  <si>
    <t>Recognition that small to medium neighbourhood centre generally service local communities and new facilities will improve amenity and convenience and reduce demand on road network.</t>
  </si>
  <si>
    <t>Showroom (0 - 600m2 GFA)</t>
  </si>
  <si>
    <t>The size zoning match retail, as effectively same zoning.</t>
  </si>
  <si>
    <t>Convenience Centre (COT)</t>
  </si>
  <si>
    <t>Recognition that convenience centres service local communities and new developments will improve amenity and reduce demand on road network.</t>
  </si>
  <si>
    <t>Waiver 1</t>
  </si>
  <si>
    <t>Car wash</t>
  </si>
  <si>
    <t>No match</t>
  </si>
  <si>
    <t>Total</t>
  </si>
  <si>
    <t>Waiver 2 =</t>
  </si>
  <si>
    <t>Waivers ($)</t>
  </si>
  <si>
    <t>Gross Charge ($)</t>
  </si>
  <si>
    <t>N/A</t>
  </si>
  <si>
    <t>Net Charge Payable ($)</t>
  </si>
  <si>
    <t>Correcting Inflationary adjustment error for open space</t>
  </si>
  <si>
    <t>In accordance with the Council resolution dated 23rd March 2010, a waiver of the Road Network Headworks may also be applicable to non-residential development for which the policy is effective, but only for those development approvals of land uses which are consistent with the relevant planning scheme and infrastructure planning commensurate with the planning scheme policies, and for which full payment of all infrastructure contributions is made before close of business 30 June 2011. Where this waiver coincides with the waiver of Note 1 above, the most generous wavier shall prevail. The effect of this waiver is considered in the Outputs above.</t>
  </si>
  <si>
    <t>Waivers for non-road infrastructure have not been made by Council.</t>
  </si>
  <si>
    <t>2. Each policy is represented by a spreadsheet, which contains all equivalency and charge rate data relevant to that infrastructure.</t>
  </si>
  <si>
    <t>(i). Common criteria</t>
  </si>
  <si>
    <t>1. Waiver 1</t>
  </si>
  <si>
    <t>1.1 Specific criteria:</t>
  </si>
  <si>
    <t>1.2 Result:</t>
  </si>
  <si>
    <t>2. Waiver 2</t>
  </si>
  <si>
    <t>2.1 Specific criteria:</t>
  </si>
  <si>
    <t>Matching Land Use</t>
  </si>
  <si>
    <t>Table A - Discount Rates</t>
  </si>
  <si>
    <t>Top of Page</t>
  </si>
  <si>
    <t>In accordance with the Council resolution dated 23rd June 2009 a 33% waiver of the Road Network Headworks is applicable to development for which the  policy is effective, but only for those development approvals of land uses which are consistent with the relevant planning scheme and infrastructure planning commensurate with the amended polanning scheme policies, and are decided before 30 June 2010, unless priority infrastructure plans commence earlier. The effect of this waiver is shown in the Outputs above.</t>
  </si>
  <si>
    <t>Introduced Waiver worksheet re Council resolution dated 23/3/2010 allowing consideration of road transport discounts for non-residential development. Modified Summary and Welcome sheets. Corrected date of council resolution 23/6/2009 relevant to 33% road infrastructure contribution discount.</t>
  </si>
  <si>
    <t>Table B-  Traffic Demand Referral Trigger</t>
  </si>
  <si>
    <t>TDU</t>
  </si>
  <si>
    <t>For development applications made from 28 October 2009 to next policy amendment</t>
  </si>
  <si>
    <t>3.1 Specific criteria:</t>
  </si>
  <si>
    <t>3.2 Result:</t>
  </si>
  <si>
    <t>4. Applicable Waiver</t>
  </si>
  <si>
    <t>3. Waiver 3</t>
  </si>
  <si>
    <t>Waiver 3</t>
  </si>
  <si>
    <t>Introduced Waver 3 as per Council resolution dated 22/6/2010.</t>
  </si>
  <si>
    <t>In accordance with the Council resolution dated 22nd June 2010, a 20% waiver of the Road Network Headworks is applicable to development for which the policy is effective, but only for those development approvals of land uses which are consistent with the relevant planning scheme and infrastructure planning commensurate with the planning scheme policies, and are decided after 30 June 2010 (to avoid overlap with Waiver 1) but prior to 30 June 2011, and all road infrastructure contributions are paid before 30 June 2011..</t>
  </si>
  <si>
    <t>Waiver corrected as part of testing, stormater indexation corrected, CPI indexation past June 2009 applied</t>
  </si>
  <si>
    <t>Indexation past June 2009 modified to be RBCI default, but CPI if RBCI movements greater than CPI movements</t>
  </si>
  <si>
    <t>Indexation Factor</t>
  </si>
  <si>
    <t>Updated ABS indicies</t>
  </si>
  <si>
    <t>Fixed summary error - only roads waivers had been properly translated to 'net charge payable'</t>
  </si>
  <si>
    <t>Waiver introduced for small lot water and sewer discounting as per Council resolution dated 28 September 2010 (DWX 6102736)</t>
  </si>
  <si>
    <t>Lot Size</t>
  </si>
  <si>
    <t>No. of lots</t>
  </si>
  <si>
    <t>Demand (EP)</t>
  </si>
  <si>
    <t>Credit (EP)</t>
  </si>
  <si>
    <t>Sewer:</t>
  </si>
  <si>
    <t>Fixed waiver for source component of water charges (revealed during testing)</t>
  </si>
  <si>
    <t>Source Works</t>
  </si>
  <si>
    <t>Fixed ROADS land use zonings in the ROL selection to reflect COT scheme (rather than TCC scheme)</t>
  </si>
  <si>
    <t>All land use zonings/precincts</t>
  </si>
  <si>
    <t>Corrected error in Waiver 3 (may apply to non-urban development)</t>
  </si>
  <si>
    <t>Retail Plant Nursery</t>
  </si>
  <si>
    <t>Road Freight Depot</t>
  </si>
  <si>
    <t>Service Industry</t>
  </si>
  <si>
    <t>Special Uses</t>
  </si>
  <si>
    <t>Sports and Recreation</t>
  </si>
  <si>
    <t>Spray Painting</t>
  </si>
  <si>
    <t>Undertakers Establishment</t>
  </si>
  <si>
    <r>
      <t>Produce Store &lt; 150m</t>
    </r>
    <r>
      <rPr>
        <sz val="10"/>
        <rFont val="Arial"/>
        <family val="2"/>
      </rPr>
      <t>²</t>
    </r>
    <r>
      <rPr>
        <sz val="10"/>
        <rFont val="Arial"/>
        <family val="2"/>
      </rPr>
      <t xml:space="preserve"> roofed floor area</t>
    </r>
  </si>
  <si>
    <r>
      <t>Produce Store (150m</t>
    </r>
    <r>
      <rPr>
        <sz val="10"/>
        <rFont val="Arial"/>
        <family val="2"/>
      </rPr>
      <t>²</t>
    </r>
    <r>
      <rPr>
        <sz val="10"/>
        <rFont val="Arial"/>
        <family val="2"/>
      </rPr>
      <t xml:space="preserve"> - 300m²roofed floor area)</t>
    </r>
  </si>
  <si>
    <r>
      <t>Produce Store &gt; 300m</t>
    </r>
    <r>
      <rPr>
        <sz val="10"/>
        <rFont val="Arial"/>
        <family val="2"/>
      </rPr>
      <t>²</t>
    </r>
    <r>
      <rPr>
        <sz val="10"/>
        <rFont val="Arial"/>
        <family val="2"/>
      </rPr>
      <t xml:space="preserve"> roofed floor area</t>
    </r>
  </si>
  <si>
    <r>
      <t>Retail Warehouse &lt; 150m</t>
    </r>
    <r>
      <rPr>
        <sz val="10"/>
        <rFont val="Arial"/>
        <family val="2"/>
      </rPr>
      <t>²</t>
    </r>
    <r>
      <rPr>
        <sz val="10"/>
        <rFont val="Arial"/>
        <family val="2"/>
      </rPr>
      <t xml:space="preserve"> roofed floor area</t>
    </r>
  </si>
  <si>
    <r>
      <t>Retail Warehouse (150m</t>
    </r>
    <r>
      <rPr>
        <sz val="10"/>
        <rFont val="Arial"/>
        <family val="2"/>
      </rPr>
      <t>²</t>
    </r>
    <r>
      <rPr>
        <sz val="10"/>
        <rFont val="Arial"/>
        <family val="2"/>
      </rPr>
      <t xml:space="preserve"> - 300m²roofed floor area)</t>
    </r>
  </si>
  <si>
    <r>
      <t>Retail Warehouse &gt; 300m</t>
    </r>
    <r>
      <rPr>
        <sz val="10"/>
        <rFont val="Arial"/>
        <family val="2"/>
      </rPr>
      <t>²</t>
    </r>
    <r>
      <rPr>
        <sz val="10"/>
        <rFont val="Arial"/>
        <family val="2"/>
      </rPr>
      <t xml:space="preserve"> roofed floor area</t>
    </r>
  </si>
  <si>
    <r>
      <t>Service Station &lt; 200m</t>
    </r>
    <r>
      <rPr>
        <sz val="10"/>
        <rFont val="Arial"/>
        <family val="2"/>
      </rPr>
      <t>²</t>
    </r>
    <r>
      <rPr>
        <sz val="10"/>
        <rFont val="Arial"/>
        <family val="2"/>
      </rPr>
      <t xml:space="preserve"> roofed floor area</t>
    </r>
  </si>
  <si>
    <t>service station</t>
  </si>
  <si>
    <r>
      <t>Service Station &gt; 200m</t>
    </r>
    <r>
      <rPr>
        <sz val="10"/>
        <rFont val="Arial"/>
        <family val="2"/>
      </rPr>
      <t>²</t>
    </r>
    <r>
      <rPr>
        <sz val="10"/>
        <rFont val="Arial"/>
        <family val="2"/>
      </rPr>
      <t xml:space="preserve"> roofed floor area</t>
    </r>
  </si>
  <si>
    <r>
      <t>10 + 10/100m</t>
    </r>
    <r>
      <rPr>
        <sz val="10"/>
        <rFont val="Arial"/>
        <family val="2"/>
      </rPr>
      <t>²</t>
    </r>
  </si>
  <si>
    <r>
      <t>Shop &lt; 150m</t>
    </r>
    <r>
      <rPr>
        <sz val="10"/>
        <rFont val="Arial"/>
        <family val="2"/>
      </rPr>
      <t>²</t>
    </r>
    <r>
      <rPr>
        <sz val="10"/>
        <rFont val="Arial"/>
        <family val="2"/>
      </rPr>
      <t xml:space="preserve"> roofed floor area</t>
    </r>
  </si>
  <si>
    <t>shop</t>
  </si>
  <si>
    <r>
      <t>Shop (150m</t>
    </r>
    <r>
      <rPr>
        <sz val="10"/>
        <rFont val="Arial"/>
        <family val="2"/>
      </rPr>
      <t>²</t>
    </r>
    <r>
      <rPr>
        <sz val="10"/>
        <rFont val="Arial"/>
        <family val="2"/>
      </rPr>
      <t xml:space="preserve"> - 300m²roofed floor area)</t>
    </r>
  </si>
  <si>
    <r>
      <t>Shop &gt; 300m</t>
    </r>
    <r>
      <rPr>
        <sz val="10"/>
        <rFont val="Arial"/>
        <family val="2"/>
      </rPr>
      <t>²</t>
    </r>
    <r>
      <rPr>
        <sz val="10"/>
        <rFont val="Arial"/>
        <family val="2"/>
      </rPr>
      <t xml:space="preserve"> roofed floor area</t>
    </r>
  </si>
  <si>
    <r>
      <t>30 + 2.5/150m</t>
    </r>
    <r>
      <rPr>
        <sz val="10"/>
        <rFont val="Arial"/>
        <family val="2"/>
      </rPr>
      <t>²</t>
    </r>
  </si>
  <si>
    <t>Extended uses for sewer consents</t>
  </si>
  <si>
    <t>5.10</t>
  </si>
  <si>
    <t>Fixed reference error in WATER for veterinary hopital… to… warehouse</t>
  </si>
  <si>
    <t>Introduced Waiver 4 - maximum standard charges waiver</t>
  </si>
  <si>
    <t>CRITERIA</t>
  </si>
  <si>
    <t>MAXIMUM STANDARD CHARGE SPLIT</t>
  </si>
  <si>
    <t>2.1</t>
  </si>
  <si>
    <t>Non-residential uses charge split</t>
  </si>
  <si>
    <t>Infrastructure</t>
  </si>
  <si>
    <t>Proportion (n/n)</t>
  </si>
  <si>
    <t>Parks</t>
  </si>
  <si>
    <t>Sewer</t>
  </si>
  <si>
    <t>Transport</t>
  </si>
  <si>
    <t>Water</t>
  </si>
  <si>
    <t>Stormwater</t>
  </si>
  <si>
    <t>note - rural industry uses only charge for transport</t>
  </si>
  <si>
    <t>2.2</t>
  </si>
  <si>
    <t>Residential and accommodation uses charge split</t>
  </si>
  <si>
    <t>DEMAND</t>
  </si>
  <si>
    <t>3.1</t>
  </si>
  <si>
    <t>Non-residential demand &amp; gross maximum standard charge</t>
  </si>
  <si>
    <t>These are 'as of right' (ROL) or proposed uses (MCU), and may require reference to the Queensland Planning Provisions for sub-definition identifcation</t>
  </si>
  <si>
    <t>Max. std. charge grouping</t>
  </si>
  <si>
    <t>Rate ($/unit)</t>
  </si>
  <si>
    <t>Fraction impervious (ROL)</t>
  </si>
  <si>
    <t>Use this last line to manually enter undefined, TBA or unlisted land uses</t>
  </si>
  <si>
    <t xml:space="preserve">3.2 </t>
  </si>
  <si>
    <t>Residential and accomodation demand &amp; gross maximum standard charge</t>
  </si>
  <si>
    <t>Water, sewer, transport, parks, stormwater</t>
  </si>
  <si>
    <t>3.3</t>
  </si>
  <si>
    <t>A = Gross maximum standard charge ($)</t>
  </si>
  <si>
    <t>Non-residential</t>
  </si>
  <si>
    <t>Residential &amp; accommodation</t>
  </si>
  <si>
    <t>EXISTING USE RIGHTS</t>
  </si>
  <si>
    <t>4.1.</t>
  </si>
  <si>
    <t>Non-residential use rights &amp; gross maximum standard charge credit</t>
  </si>
  <si>
    <t>4.2</t>
  </si>
  <si>
    <t>Residential and accomodation use rights &amp; gross maximum standard charge credit</t>
  </si>
  <si>
    <t>4.3.</t>
  </si>
  <si>
    <t>B = Maximum standard charge credit ($)</t>
  </si>
  <si>
    <t>Land uses</t>
  </si>
  <si>
    <t>WAIVER</t>
  </si>
  <si>
    <t>(Local government infrastructure contributions)</t>
  </si>
  <si>
    <t>Eligibility =</t>
  </si>
  <si>
    <t>Net max. std. charge ($)</t>
  </si>
  <si>
    <t>Contribution otherwise payable ($)</t>
  </si>
  <si>
    <t>Waiver ($)</t>
  </si>
  <si>
    <t>REFERENCE MATERIALS (DO NOT DELETE</t>
  </si>
  <si>
    <t>Table - Max std charge grouping</t>
  </si>
  <si>
    <t>Assembly</t>
  </si>
  <si>
    <t>Commercial (bulk goods)</t>
  </si>
  <si>
    <t>Commercial (office)</t>
  </si>
  <si>
    <t>Commercial (retail)</t>
  </si>
  <si>
    <t>Education</t>
  </si>
  <si>
    <t>Entertainment</t>
  </si>
  <si>
    <t>Essential services</t>
  </si>
  <si>
    <t>High impact industry</t>
  </si>
  <si>
    <t>High impact rural</t>
  </si>
  <si>
    <t>Low impact rural</t>
  </si>
  <si>
    <t>Minor Uses</t>
  </si>
  <si>
    <t>Specialist uses</t>
  </si>
  <si>
    <t>Table - Non-residential land use definitions (excl. accomodation uses)</t>
  </si>
  <si>
    <t>City Plan definition (QPP definition)</t>
  </si>
  <si>
    <t>Maximum standard charge grouping</t>
  </si>
  <si>
    <t>Agriculture (Intensive horticulture)</t>
  </si>
  <si>
    <t>Agriculture (Permanent plantations)</t>
  </si>
  <si>
    <t>Agriculture (Wholesale nursery)</t>
  </si>
  <si>
    <t>Agriculture (Winery)</t>
  </si>
  <si>
    <t>Animal Husbandry (Animal husbandry)</t>
  </si>
  <si>
    <t>Aquaculture (Aquaculture)</t>
  </si>
  <si>
    <t>Car Park (Car park)</t>
  </si>
  <si>
    <t>Child Care Centre (Child care centre)</t>
  </si>
  <si>
    <t>Education Establishment (Education establishment)</t>
  </si>
  <si>
    <t>Extractive Industry (Extractive industry)</t>
  </si>
  <si>
    <t>Garden Centre (Garden centre)</t>
  </si>
  <si>
    <t>General Industry (High impact industry)</t>
  </si>
  <si>
    <t>General Industry (Low impact industry)</t>
  </si>
  <si>
    <t>General Industry (Medium impact industry)</t>
  </si>
  <si>
    <t>General Industry (Noxious &amp; hazardous industries)</t>
  </si>
  <si>
    <t>General Industry (Research &amp; technology industry)</t>
  </si>
  <si>
    <t>Home Based Business (Home based business)</t>
  </si>
  <si>
    <t>Hospital (Hospital)</t>
  </si>
  <si>
    <t>Corrected error in Waiver 6 - now only applied when all criteria are met (note also changed to correct reference to LFIC wavering)</t>
  </si>
  <si>
    <t>Hotel (Hotel (non-res. component))</t>
  </si>
  <si>
    <t>Indoor Recreation (Club)</t>
  </si>
  <si>
    <t>Indoor Recreation (Function facility)</t>
  </si>
  <si>
    <t>Indoor Recreation (Indoor sport &amp; recreation facility)</t>
  </si>
  <si>
    <t>Indoor Recreation (Major sport, recreation &amp; entertainment facility)</t>
  </si>
  <si>
    <t>Indoor Recreation (Nightclub)</t>
  </si>
  <si>
    <t>Intensive Animal Husbandry (Intensive animal industries)</t>
  </si>
  <si>
    <t>Landscape Supplies (Bulk landscape supplies)</t>
  </si>
  <si>
    <t>Market (Market)</t>
  </si>
  <si>
    <t>Medical Centre (Health care services)</t>
  </si>
  <si>
    <t>Outdoor Recreation (Outdoor sport &amp; recreation)</t>
  </si>
  <si>
    <t>Restaurant (Food and drink outlet)</t>
  </si>
  <si>
    <t>Roadside Stall (Roadside stall)</t>
  </si>
  <si>
    <t>Sales or Hire Yard (Oudoor sales)</t>
  </si>
  <si>
    <t>Service Station (Service station)</t>
  </si>
  <si>
    <t>Shop (Adult store)</t>
  </si>
  <si>
    <t>Shop (Shop)</t>
  </si>
  <si>
    <t>Showroom (Hardware &amp; trade supplies)</t>
  </si>
  <si>
    <t>Showroom (Showroom)</t>
  </si>
  <si>
    <t>Transport Depot (Service industry)</t>
  </si>
  <si>
    <t>Warehouse (Warehouse)</t>
  </si>
  <si>
    <t>Table - Residential land use definitions (incl. accomodation uses)</t>
  </si>
  <si>
    <t>Caravan Park (Relocatable home park)</t>
  </si>
  <si>
    <t>Planning Scheme Policy for infrastructure contributions - stormwater and transport infrastructure (Roads)</t>
  </si>
  <si>
    <t>Amended instructions  and notes on welcome sheet, added commentary to summary sheet stating periodic updates of indexation and updated ABS indices for Sept. '11</t>
  </si>
  <si>
    <t>Long term accommodation</t>
  </si>
  <si>
    <t>Short term accommodation</t>
  </si>
  <si>
    <t>Caretaker’s Residence (Caretaker's Accommodation)</t>
  </si>
  <si>
    <t>Residential (1 or 2 bedroom)</t>
  </si>
  <si>
    <t>Residential (3 or more bedroom)</t>
  </si>
  <si>
    <t>Long Term Accommodation</t>
  </si>
  <si>
    <t>Dual Occupancy (Dual Occupancy)</t>
  </si>
  <si>
    <t>Hotel (Hotel (res. component))</t>
  </si>
  <si>
    <t>Motel (Short term accomodation)</t>
  </si>
  <si>
    <t>Multiple Dwelling (Multiple dwelling)</t>
  </si>
  <si>
    <t>Outdoor Recreation (Tourist park)</t>
  </si>
  <si>
    <t>Retirement Village (Retirement Facility)</t>
  </si>
  <si>
    <t>Table - Charge Rates (Non-residential, excl. accomodation uses)</t>
  </si>
  <si>
    <t>Water, sewer, transport, parks</t>
  </si>
  <si>
    <t>Base rate ($/unit) Jun '10</t>
  </si>
  <si>
    <t>Fraction impervious for ROL</t>
  </si>
  <si>
    <t>Base rate ($/m2 impervious)</t>
  </si>
  <si>
    <t>m2 GFA</t>
  </si>
  <si>
    <t>Transport only</t>
  </si>
  <si>
    <t xml:space="preserve">Base RBCI = </t>
  </si>
  <si>
    <t>Table - Charge Rates (Residential, and accomodation uses)</t>
  </si>
  <si>
    <t>room or site</t>
  </si>
  <si>
    <t>Planing scheme definition (QPP definition in parenthesis)</t>
  </si>
  <si>
    <t>Accommodation Building (Hostel)</t>
  </si>
  <si>
    <t>Accommodation Building (Non-resident workforce accommodation)</t>
  </si>
  <si>
    <t>Accommodation Building (Short term accomodation)</t>
  </si>
  <si>
    <t>Agriculture (Cropping)</t>
  </si>
  <si>
    <t>Bed and Breakfast Accommodation (Home based business)</t>
  </si>
  <si>
    <t>Car Wash/Cleaning Station (Low Impact Industry)</t>
  </si>
  <si>
    <t>Tourist Facility (Tourist park)</t>
  </si>
  <si>
    <t>Fast Food Store (Food &amp; drink outlet)</t>
  </si>
  <si>
    <t>Animal Husbandry (Animal keeping)</t>
  </si>
  <si>
    <t>Community Care Centre (Community Residence)</t>
  </si>
  <si>
    <t>Storage Yard/ Lockup Storage Unit (Warehouse)</t>
  </si>
  <si>
    <t>Community Facility (Community use)</t>
  </si>
  <si>
    <t>Dwelling House (Dwelling house)</t>
  </si>
  <si>
    <t>Estate Sales Office (Sales office)</t>
  </si>
  <si>
    <t>Funeral Parlour (Funeral parlour)</t>
  </si>
  <si>
    <t>Indoor Entertainment (Theatre)</t>
  </si>
  <si>
    <t>Indoor Entertainment (Tourist attraction)</t>
  </si>
  <si>
    <t>Community Care Centre (Community care centre)</t>
  </si>
  <si>
    <t>Community Care Centre (Correctional facility)</t>
  </si>
  <si>
    <t>Community Care Centre (Residential care facility)</t>
  </si>
  <si>
    <t>Community Facility (Utility installation)</t>
  </si>
  <si>
    <t>Telecommunications Facilities (Telecommunications facility)</t>
  </si>
  <si>
    <t>Cemetery (Cemetery)</t>
  </si>
  <si>
    <t>Waiver 6 - Council Resolution for Maximum Standard Infrastructure Contribution Waivers</t>
  </si>
  <si>
    <t xml:space="preserve"> (i) updated indices for Mar '12  (ii) Waiver 6 replaced waiver 5 to keep matching with maximum standard charging arrangements.</t>
  </si>
  <si>
    <t>Cemetery (Crematorium)</t>
  </si>
  <si>
    <t>Community Facility (Emergency services)</t>
  </si>
  <si>
    <t>Low Impact Telecommunication Facilities (Telecommunications facility)</t>
  </si>
  <si>
    <t>Service Premises (Office)</t>
  </si>
  <si>
    <t>Outdoor Entertainment (Major sport, recreation &amp; entertainment facility)</t>
  </si>
  <si>
    <t>Outdoor Entertainment (Motor sport)</t>
  </si>
  <si>
    <t>Community Facility (Park)</t>
  </si>
  <si>
    <t>Place of Public Worship (Place of worship)</t>
  </si>
  <si>
    <t>Rural Industry (Rural industry)</t>
  </si>
  <si>
    <t>Light and Service Industry (Service industry)</t>
  </si>
  <si>
    <t>Veterinary Clinic/Hospital (Veterinary services)</t>
  </si>
  <si>
    <t>Produce Store (Agricultural supplies store)</t>
  </si>
  <si>
    <t>Hardware Store (Hardware &amp; trade supplies)</t>
  </si>
  <si>
    <t>Shopping Centre (Shopping centre)</t>
  </si>
  <si>
    <t>Stockyard (Animal keeping)</t>
  </si>
  <si>
    <t>Vehicle Repair Premises (Medium impact industry)</t>
  </si>
  <si>
    <t>Community Facility (Wind farm)</t>
  </si>
  <si>
    <t>Waiver 4 - Council Resolution for Sewer and Water Infrastructure Contribution Waivers</t>
  </si>
  <si>
    <t>Waivers 1, 2, 3 &amp; 4 ($)</t>
  </si>
  <si>
    <t>Reduced Charge ($)</t>
  </si>
  <si>
    <t>Waivers 1, 2 and 3 - Council Resolutions for Road Infrastructure Contribution Waivers</t>
  </si>
  <si>
    <t>Residential 'A' or 'B' (lots &lt;200m²)</t>
  </si>
  <si>
    <t>Residential 'A' or 'B' (lots 200m² to 299m²)</t>
  </si>
  <si>
    <t>Residential 'A' or 'B' (lots 300m² to 399m²)</t>
  </si>
  <si>
    <t>Residential 'A' or 'B' (lots 400m² or larger)</t>
  </si>
  <si>
    <t>Residential 'C' (lots &lt;200m²)</t>
  </si>
  <si>
    <t>Residential 'C' (lots 200m² to 299m²)</t>
  </si>
  <si>
    <t>Residential 'C' (lots 300m² to 399m²)</t>
  </si>
  <si>
    <t>Residential 'C' (lots 400m² or larger)</t>
  </si>
  <si>
    <t>Demand (SU)</t>
  </si>
  <si>
    <t>Credit    (SU)</t>
  </si>
  <si>
    <t>Water:</t>
  </si>
  <si>
    <t>Traditional Residential (lots &lt;200m²)</t>
  </si>
  <si>
    <t>Traditional Residential (lots 200m² to 299m²)</t>
  </si>
  <si>
    <t>Traditional Residential (lots 300m² to 399m²)</t>
  </si>
  <si>
    <t>Traditional Residential (lots 400m² or larger)</t>
  </si>
  <si>
    <t>Mixed Residential (lots &lt;200m²)</t>
  </si>
  <si>
    <t>Mixed Residential (lots 200m² to 299m²)</t>
  </si>
  <si>
    <t>Mixed Residential (lots 300m² to 399m²)</t>
  </si>
  <si>
    <t>Mixed Residential (lots 400m² or larger)</t>
  </si>
  <si>
    <t>Park Residential (lots &lt;200m²)</t>
  </si>
  <si>
    <t>Waiver 6 ($)</t>
  </si>
  <si>
    <t>Park Residential (lots 200m² to 299m²)</t>
  </si>
  <si>
    <t>Park Residential (lots 300m² to 399m²)</t>
  </si>
  <si>
    <t>Park Residential (lots 400m² or larger)</t>
  </si>
  <si>
    <t>Reservoirs</t>
  </si>
  <si>
    <t>Delivery mains</t>
  </si>
  <si>
    <t>Distribution mains &amp; other works</t>
  </si>
  <si>
    <t>3. Select 'Matching Land Use' to match items in 'Land Use'</t>
  </si>
  <si>
    <t>4. Reconfiguration development is not applicable</t>
  </si>
  <si>
    <t>1. 'Land use' and 'Gross Contribution' sourced from Roads worksheet</t>
  </si>
  <si>
    <t>2. 'Gross Contribution' has deducted credits applicable for existing lawful uses</t>
  </si>
  <si>
    <t>Waiver (%)</t>
  </si>
  <si>
    <t>2.2 Result:</t>
  </si>
  <si>
    <t>Sector 10a</t>
  </si>
  <si>
    <t>Sector 10b</t>
  </si>
  <si>
    <t>Catchment</t>
  </si>
  <si>
    <t>Sector 1</t>
  </si>
  <si>
    <t>Sector 2</t>
  </si>
  <si>
    <t>Sector 3</t>
  </si>
  <si>
    <t>Sector 4</t>
  </si>
  <si>
    <t>Sector 5</t>
  </si>
  <si>
    <t>Sector 6</t>
  </si>
  <si>
    <t>Sector 7</t>
  </si>
  <si>
    <t>Sector 8</t>
  </si>
  <si>
    <t>Sector 9</t>
  </si>
  <si>
    <t>Sector 10</t>
  </si>
  <si>
    <t>Sector 11 (Magnetic Is)</t>
  </si>
  <si>
    <t>Traditional Residential</t>
  </si>
  <si>
    <t>Mixed Residential</t>
  </si>
  <si>
    <t>Neighbourhood Centre</t>
  </si>
  <si>
    <t>District Centre</t>
  </si>
  <si>
    <t>Precinct</t>
  </si>
  <si>
    <t>Unit</t>
  </si>
  <si>
    <t>Lot</t>
  </si>
  <si>
    <t>Ha</t>
  </si>
  <si>
    <t>FPA</t>
  </si>
  <si>
    <t>Other</t>
  </si>
  <si>
    <t>Restaurant</t>
  </si>
  <si>
    <t>Medical Centre</t>
  </si>
  <si>
    <t>Motel</t>
  </si>
  <si>
    <t>dwelling unit</t>
  </si>
  <si>
    <t>General Industry</t>
  </si>
  <si>
    <t>Educational Establishment</t>
  </si>
  <si>
    <t>Charge Catchment</t>
  </si>
  <si>
    <t>Date</t>
  </si>
  <si>
    <t>Development Type</t>
  </si>
  <si>
    <t>Recongfiguration of Lot</t>
  </si>
  <si>
    <t>Type</t>
  </si>
  <si>
    <t>Qty</t>
  </si>
  <si>
    <t>Units</t>
  </si>
  <si>
    <t xml:space="preserve"> </t>
  </si>
  <si>
    <t>Sub-total</t>
  </si>
  <si>
    <t>2.</t>
  </si>
  <si>
    <t>3.</t>
  </si>
  <si>
    <t>4.</t>
  </si>
  <si>
    <t>5.</t>
  </si>
  <si>
    <t>Base Rate</t>
  </si>
  <si>
    <t>Reference Data - Do not delete</t>
  </si>
  <si>
    <t>Working Table</t>
  </si>
  <si>
    <t>1.</t>
  </si>
  <si>
    <t>Use</t>
  </si>
  <si>
    <t>$/EP</t>
  </si>
  <si>
    <t>Developer Contribution Calculator</t>
  </si>
  <si>
    <t>Welcome to the:</t>
  </si>
  <si>
    <t>1. This spreadsheet automates the calculation of developer contributions, to make life easier and consistent for development assessment staff.</t>
  </si>
  <si>
    <t>3. The user is required to input data particular to the development in each spreadsheet - protection has been applied to non-input data cells.</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</si>
  <si>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</si>
  <si>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</si>
  <si>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</si>
  <si>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</si>
  <si>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</si>
  <si>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</si>
  <si>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</si>
  <si>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</si>
  <si>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</si>
  <si>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</si>
  <si>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</si>
  <si>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</si>
  <si>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</si>
  <si>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</si>
  <si>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</si>
  <si>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</si>
  <si>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</si>
  <si>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</si>
  <si>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</si>
  <si>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</si>
  <si>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</si>
  <si>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</si>
  <si>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</si>
  <si>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</si>
  <si>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</si>
  <si>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</si>
  <si>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</si>
  <si>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</si>
  <si>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</si>
  <si>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</si>
  <si>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</si>
  <si>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</si>
  <si>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</si>
  <si>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</si>
  <si>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</si>
  <si>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</si>
  <si>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</si>
  <si>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Item</t>
  </si>
  <si>
    <t>On-site car parking shortfall</t>
  </si>
  <si>
    <t>Developer Contribution Rate</t>
  </si>
  <si>
    <t>spaces</t>
  </si>
  <si>
    <t>$/space</t>
  </si>
  <si>
    <t>lots</t>
  </si>
  <si>
    <t>$/lot</t>
  </si>
  <si>
    <t>Caretaker's Residence</t>
  </si>
  <si>
    <t>Hotel</t>
  </si>
  <si>
    <t>Equivalencies - ROL</t>
  </si>
  <si>
    <t>Equivalencies for previous rezoning</t>
  </si>
  <si>
    <t>Equivalencies - MCU</t>
  </si>
  <si>
    <t>Adjust. factor</t>
  </si>
  <si>
    <t>Indexed Rate</t>
  </si>
  <si>
    <t>No. of additional lots/units</t>
  </si>
  <si>
    <t>Thuringowa City</t>
  </si>
  <si>
    <t>Applicable to the planning scheme policies for the City of Thuringowa planning scheme</t>
  </si>
  <si>
    <t>CPI</t>
  </si>
  <si>
    <t>Treatment plants &amp; outfalls</t>
  </si>
  <si>
    <t>Residential 'A'</t>
  </si>
  <si>
    <t>Residential 'B'</t>
  </si>
  <si>
    <t>Residential 'C'</t>
  </si>
  <si>
    <t>SU/unit</t>
  </si>
  <si>
    <t>Club Open Space</t>
  </si>
  <si>
    <t>Park and Open Space</t>
  </si>
  <si>
    <t>Light Industry</t>
  </si>
  <si>
    <t>Noxious and Hazardous</t>
  </si>
  <si>
    <t>Local Shopping</t>
  </si>
  <si>
    <t>Commercial</t>
  </si>
  <si>
    <t>Hotel and Tavern</t>
  </si>
  <si>
    <t>Village Shopping</t>
  </si>
  <si>
    <t>Public Purposes</t>
  </si>
  <si>
    <t>Special Facilities</t>
  </si>
  <si>
    <t>Future Urban</t>
  </si>
  <si>
    <r>
      <t xml:space="preserve">General Industry (Lots </t>
    </r>
    <r>
      <rPr>
        <sz val="10"/>
        <rFont val="Arial"/>
        <family val="2"/>
      </rPr>
      <t>≥</t>
    </r>
    <r>
      <rPr>
        <sz val="10"/>
        <rFont val="Arial"/>
        <family val="2"/>
      </rPr>
      <t>2,700m</t>
    </r>
    <r>
      <rPr>
        <sz val="10"/>
        <rFont val="Arial"/>
        <family val="2"/>
      </rPr>
      <t>²</t>
    </r>
    <r>
      <rPr>
        <sz val="10"/>
        <rFont val="Arial"/>
        <family val="2"/>
      </rPr>
      <t>)</t>
    </r>
  </si>
  <si>
    <r>
      <t>General Industry (Lots &lt;2,700m</t>
    </r>
    <r>
      <rPr>
        <sz val="10"/>
        <rFont val="Arial"/>
        <family val="2"/>
      </rPr>
      <t>²</t>
    </r>
    <r>
      <rPr>
        <sz val="10"/>
        <rFont val="Arial"/>
        <family val="2"/>
      </rPr>
      <t>)</t>
    </r>
  </si>
  <si>
    <r>
      <t xml:space="preserve">Light Industry (Lots </t>
    </r>
    <r>
      <rPr>
        <sz val="10"/>
        <rFont val="Arial"/>
        <family val="2"/>
      </rPr>
      <t>≥</t>
    </r>
    <r>
      <rPr>
        <sz val="10"/>
        <rFont val="Arial"/>
        <family val="2"/>
      </rPr>
      <t>2,700m</t>
    </r>
    <r>
      <rPr>
        <sz val="10"/>
        <rFont val="Arial"/>
        <family val="2"/>
      </rPr>
      <t>²</t>
    </r>
    <r>
      <rPr>
        <sz val="10"/>
        <rFont val="Arial"/>
        <family val="2"/>
      </rPr>
      <t>)</t>
    </r>
  </si>
  <si>
    <r>
      <t>Light Industry (Lots &lt;2,700m</t>
    </r>
    <r>
      <rPr>
        <sz val="10"/>
        <rFont val="Arial"/>
        <family val="2"/>
      </rPr>
      <t>²</t>
    </r>
    <r>
      <rPr>
        <sz val="10"/>
        <rFont val="Arial"/>
        <family val="2"/>
      </rPr>
      <t>)</t>
    </r>
  </si>
  <si>
    <r>
      <t>Noxious and Hazardous (Lots &lt;2,700m</t>
    </r>
    <r>
      <rPr>
        <sz val="10"/>
        <rFont val="Arial"/>
        <family val="2"/>
      </rPr>
      <t>²</t>
    </r>
    <r>
      <rPr>
        <sz val="10"/>
        <rFont val="Arial"/>
        <family val="2"/>
      </rPr>
      <t>)</t>
    </r>
  </si>
  <si>
    <r>
      <t xml:space="preserve">Noxious and Hazardous (Lots </t>
    </r>
    <r>
      <rPr>
        <sz val="10"/>
        <rFont val="Arial"/>
        <family val="2"/>
      </rPr>
      <t>≥</t>
    </r>
    <r>
      <rPr>
        <sz val="10"/>
        <rFont val="Arial"/>
        <family val="2"/>
      </rPr>
      <t>2,700m</t>
    </r>
    <r>
      <rPr>
        <sz val="10"/>
        <rFont val="Arial"/>
        <family val="2"/>
      </rPr>
      <t>²</t>
    </r>
    <r>
      <rPr>
        <sz val="10"/>
        <rFont val="Arial"/>
        <family val="2"/>
      </rPr>
      <t>)</t>
    </r>
  </si>
  <si>
    <r>
      <t>Local Shopping (Lots &lt;2,700m</t>
    </r>
    <r>
      <rPr>
        <sz val="10"/>
        <rFont val="Arial"/>
        <family val="2"/>
      </rPr>
      <t>²</t>
    </r>
    <r>
      <rPr>
        <sz val="10"/>
        <rFont val="Arial"/>
        <family val="2"/>
      </rPr>
      <t>)</t>
    </r>
  </si>
  <si>
    <r>
      <t xml:space="preserve">Local Shopping (Lots </t>
    </r>
    <r>
      <rPr>
        <sz val="10"/>
        <rFont val="Arial"/>
        <family val="2"/>
      </rPr>
      <t>≥</t>
    </r>
    <r>
      <rPr>
        <sz val="10"/>
        <rFont val="Arial"/>
        <family val="2"/>
      </rPr>
      <t>2,700m</t>
    </r>
    <r>
      <rPr>
        <sz val="10"/>
        <rFont val="Arial"/>
        <family val="2"/>
      </rPr>
      <t>²</t>
    </r>
    <r>
      <rPr>
        <sz val="10"/>
        <rFont val="Arial"/>
        <family val="2"/>
      </rPr>
      <t>)</t>
    </r>
  </si>
  <si>
    <r>
      <t>Commercial (Lots &lt;2,700m</t>
    </r>
    <r>
      <rPr>
        <sz val="10"/>
        <rFont val="Arial"/>
        <family val="2"/>
      </rPr>
      <t>²</t>
    </r>
    <r>
      <rPr>
        <sz val="10"/>
        <rFont val="Arial"/>
        <family val="2"/>
      </rPr>
      <t>)</t>
    </r>
  </si>
  <si>
    <r>
      <t xml:space="preserve">Commercial (Lots </t>
    </r>
    <r>
      <rPr>
        <sz val="10"/>
        <rFont val="Arial"/>
        <family val="2"/>
      </rPr>
      <t>≥</t>
    </r>
    <r>
      <rPr>
        <sz val="10"/>
        <rFont val="Arial"/>
        <family val="2"/>
      </rPr>
      <t>2,700m</t>
    </r>
    <r>
      <rPr>
        <sz val="10"/>
        <rFont val="Arial"/>
        <family val="2"/>
      </rPr>
      <t>²</t>
    </r>
    <r>
      <rPr>
        <sz val="10"/>
        <rFont val="Arial"/>
        <family val="2"/>
      </rPr>
      <t>)</t>
    </r>
  </si>
  <si>
    <r>
      <t>Hotel and Tavern (Lots &lt;2,700m</t>
    </r>
    <r>
      <rPr>
        <sz val="10"/>
        <rFont val="Arial"/>
        <family val="2"/>
      </rPr>
      <t>²</t>
    </r>
    <r>
      <rPr>
        <sz val="10"/>
        <rFont val="Arial"/>
        <family val="2"/>
      </rPr>
      <t>)</t>
    </r>
  </si>
  <si>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</si>
  <si>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</si>
  <si>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</si>
  <si>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</si>
  <si>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</si>
  <si>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</si>
  <si>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</si>
  <si>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</si>
  <si>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</si>
  <si>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</si>
  <si>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</si>
  <si>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r>
      <t xml:space="preserve">Hotel and Tavern (Lots </t>
    </r>
    <r>
      <rPr>
        <sz val="10"/>
        <rFont val="Arial"/>
        <family val="2"/>
      </rPr>
      <t>≥</t>
    </r>
    <r>
      <rPr>
        <sz val="10"/>
        <rFont val="Arial"/>
        <family val="2"/>
      </rPr>
      <t>2,700m</t>
    </r>
    <r>
      <rPr>
        <sz val="10"/>
        <rFont val="Arial"/>
        <family val="2"/>
      </rPr>
      <t>²</t>
    </r>
    <r>
      <rPr>
        <sz val="10"/>
        <rFont val="Arial"/>
        <family val="2"/>
      </rPr>
      <t>)</t>
    </r>
  </si>
  <si>
    <r>
      <t>Village Shopping (Lots &lt;2,700m</t>
    </r>
    <r>
      <rPr>
        <sz val="10"/>
        <rFont val="Arial"/>
        <family val="2"/>
      </rPr>
      <t>²</t>
    </r>
    <r>
      <rPr>
        <sz val="10"/>
        <rFont val="Arial"/>
        <family val="2"/>
      </rPr>
      <t>)</t>
    </r>
  </si>
  <si>
    <r>
      <t xml:space="preserve">Village Shopping (Lots </t>
    </r>
    <r>
      <rPr>
        <sz val="10"/>
        <rFont val="Arial"/>
        <family val="2"/>
      </rPr>
      <t>≥</t>
    </r>
    <r>
      <rPr>
        <sz val="10"/>
        <rFont val="Arial"/>
        <family val="2"/>
      </rPr>
      <t>2,700m</t>
    </r>
    <r>
      <rPr>
        <sz val="10"/>
        <rFont val="Arial"/>
        <family val="2"/>
      </rPr>
      <t>²</t>
    </r>
    <r>
      <rPr>
        <sz val="10"/>
        <rFont val="Arial"/>
        <family val="2"/>
      </rPr>
      <t>)</t>
    </r>
  </si>
  <si>
    <t>Defined Use</t>
  </si>
  <si>
    <t>Agriculture</t>
  </si>
  <si>
    <t>Animal Husbandry</t>
  </si>
  <si>
    <t>Aquiculture</t>
  </si>
  <si>
    <t>Caravan Park (van bay)</t>
  </si>
  <si>
    <t>Caravan Park (camp site)</t>
  </si>
  <si>
    <t>Caterer's Rooms</t>
  </si>
  <si>
    <t>Child Care Center</t>
  </si>
  <si>
    <t>Display Home</t>
  </si>
  <si>
    <t>Domestic Horitculture</t>
  </si>
  <si>
    <t>Duplex Dwelling</t>
  </si>
  <si>
    <t>Dwelling House</t>
  </si>
  <si>
    <t>Extractive Industry</t>
  </si>
  <si>
    <t xml:space="preserve">Hospital </t>
  </si>
  <si>
    <t>Indoor Entertainment</t>
  </si>
  <si>
    <t>Institution</t>
  </si>
  <si>
    <t>Junkyard</t>
  </si>
  <si>
    <t>Kennels</t>
  </si>
  <si>
    <t>Local Services</t>
  </si>
  <si>
    <t>Local Store</t>
  </si>
  <si>
    <t>Liquid Fuel Depot</t>
  </si>
  <si>
    <t>Machinery Showroom</t>
  </si>
  <si>
    <t>Meeting Rooms</t>
  </si>
  <si>
    <t>Offices</t>
  </si>
  <si>
    <t>Open Air Displays</t>
  </si>
  <si>
    <t>Outdoor Entertainment</t>
  </si>
  <si>
    <t>Parking Area</t>
  </si>
  <si>
    <t>Passenger Terminal</t>
  </si>
  <si>
    <t>bed</t>
  </si>
  <si>
    <t>Accomodation units</t>
  </si>
  <si>
    <t>10 + 3/bed</t>
  </si>
  <si>
    <r>
      <t>Bulk Store &gt; 300m</t>
    </r>
    <r>
      <rPr>
        <sz val="10"/>
        <rFont val="Arial"/>
        <family val="2"/>
      </rPr>
      <t>²</t>
    </r>
    <r>
      <rPr>
        <sz val="10"/>
        <rFont val="Arial"/>
        <family val="2"/>
      </rPr>
      <t xml:space="preserve"> roofed floor area</t>
    </r>
  </si>
  <si>
    <r>
      <t>Bulk Store (150m</t>
    </r>
    <r>
      <rPr>
        <sz val="10"/>
        <rFont val="Arial"/>
        <family val="2"/>
      </rPr>
      <t>²</t>
    </r>
    <r>
      <rPr>
        <sz val="10"/>
        <rFont val="Arial"/>
        <family val="2"/>
      </rPr>
      <t xml:space="preserve"> - 300m² roofed floor area)</t>
    </r>
  </si>
  <si>
    <t>store</t>
  </si>
  <si>
    <r>
      <t>Bulk Store &lt; 150m</t>
    </r>
    <r>
      <rPr>
        <sz val="10"/>
        <rFont val="Arial"/>
        <family val="2"/>
      </rPr>
      <t>²</t>
    </r>
    <r>
      <rPr>
        <sz val="10"/>
        <rFont val="Arial"/>
        <family val="2"/>
      </rPr>
      <t xml:space="preserve"> roofed floor area</t>
    </r>
  </si>
  <si>
    <t>bay</t>
  </si>
  <si>
    <t>camp site</t>
  </si>
  <si>
    <t>residential unit</t>
  </si>
  <si>
    <t>home</t>
  </si>
  <si>
    <t>duplex dwelling</t>
  </si>
  <si>
    <t>dwelling</t>
  </si>
  <si>
    <t>motel unit</t>
  </si>
  <si>
    <t>Multiple Dwellings</t>
  </si>
  <si>
    <t>units</t>
  </si>
  <si>
    <t>2.5 + 7.5/unit</t>
  </si>
  <si>
    <r>
      <t>15 + 1.25/150m</t>
    </r>
    <r>
      <rPr>
        <sz val="10"/>
        <rFont val="Arial"/>
        <family val="2"/>
      </rPr>
      <t>²</t>
    </r>
  </si>
  <si>
    <t>pedestal</t>
  </si>
  <si>
    <t>1,200mm of urinal</t>
  </si>
  <si>
    <t>10 (MIN 20)</t>
  </si>
  <si>
    <t>Fixture Unit Ratings - OBSOLETE FOR COT</t>
  </si>
  <si>
    <t>SU's</t>
  </si>
  <si>
    <t>Place of Public Worship (Pedestals)</t>
  </si>
  <si>
    <t>Place of Public Worship (Urinals)</t>
  </si>
  <si>
    <t>Rate</t>
  </si>
  <si>
    <t>Trunk sewers &amp; pump. systems (Rs)</t>
  </si>
  <si>
    <t>Treatment plants &amp; outfalls (Rt)</t>
  </si>
  <si>
    <t>$/SU</t>
  </si>
  <si>
    <t>City of Thuringowa</t>
  </si>
  <si>
    <t>Amount ($)</t>
  </si>
  <si>
    <t>Current Equivalent</t>
  </si>
  <si>
    <t>(No credit given for existing lawful use unless previous contributions paid)</t>
  </si>
  <si>
    <t>SUC's</t>
  </si>
  <si>
    <t>Recongfiguration of Lot (Subdivision)</t>
  </si>
  <si>
    <t>Material Change of Use (Consent)</t>
  </si>
  <si>
    <t>Development</t>
  </si>
  <si>
    <t>Trunk sewers &amp; pump. Systems</t>
  </si>
  <si>
    <t>Place of Public Worship</t>
  </si>
  <si>
    <t>Poultry Farm</t>
  </si>
  <si>
    <t>Vehicle Showroom</t>
  </si>
  <si>
    <t>Veterinary Clinic</t>
  </si>
  <si>
    <t>Veterinary Hospital</t>
  </si>
  <si>
    <r>
      <t>Warehouse &lt; 150m</t>
    </r>
    <r>
      <rPr>
        <sz val="10"/>
        <rFont val="Arial"/>
        <family val="2"/>
      </rPr>
      <t>²</t>
    </r>
    <r>
      <rPr>
        <sz val="10"/>
        <rFont val="Arial"/>
        <family val="2"/>
      </rPr>
      <t xml:space="preserve"> roofed floor area</t>
    </r>
  </si>
  <si>
    <r>
      <t>Warehouse (150m</t>
    </r>
    <r>
      <rPr>
        <sz val="10"/>
        <rFont val="Arial"/>
        <family val="2"/>
      </rPr>
      <t>²</t>
    </r>
    <r>
      <rPr>
        <sz val="10"/>
        <rFont val="Arial"/>
        <family val="2"/>
      </rPr>
      <t xml:space="preserve"> - 300m² roofed floor area)</t>
    </r>
  </si>
  <si>
    <r>
      <t>Warehouse &gt; 300m</t>
    </r>
    <r>
      <rPr>
        <sz val="10"/>
        <rFont val="Arial"/>
        <family val="2"/>
      </rPr>
      <t>²</t>
    </r>
    <r>
      <rPr>
        <sz val="10"/>
        <rFont val="Arial"/>
        <family val="2"/>
      </rPr>
      <t xml:space="preserve"> roofed floor area</t>
    </r>
  </si>
  <si>
    <t>Developer contributions towards the cost of water supply headworks</t>
  </si>
  <si>
    <t>Developer contributions towards the cost of sewer headworks</t>
  </si>
  <si>
    <r>
      <t xml:space="preserve">Developer Contribution Rate </t>
    </r>
    <r>
      <rPr>
        <sz val="10"/>
        <rFont val="Arial"/>
        <family val="2"/>
      </rPr>
      <t>(Policy attachment A6)</t>
    </r>
  </si>
  <si>
    <r>
      <t xml:space="preserve">WUCr = Credit for Reservoirs </t>
    </r>
    <r>
      <rPr>
        <sz val="10"/>
        <rFont val="Arial"/>
        <family val="2"/>
      </rPr>
      <t>(Policy s12(2))</t>
    </r>
  </si>
  <si>
    <r>
      <t xml:space="preserve">SU = Demand </t>
    </r>
    <r>
      <rPr>
        <sz val="10"/>
        <rFont val="Arial"/>
        <family val="2"/>
      </rPr>
      <t>(Policy attachment B2)</t>
    </r>
  </si>
  <si>
    <r>
      <t>SUCs = Credit for sewer mains and pumping systems</t>
    </r>
    <r>
      <rPr>
        <sz val="10"/>
        <rFont val="Arial"/>
        <family val="2"/>
      </rPr>
      <t xml:space="preserve"> (Policy s11(2))</t>
    </r>
  </si>
  <si>
    <r>
      <t>SUCt = Credit for treatment plants &amp; outfalls</t>
    </r>
    <r>
      <rPr>
        <sz val="10"/>
        <rFont val="Arial"/>
        <family val="2"/>
      </rPr>
      <t xml:space="preserve"> (Policy s11(2))</t>
    </r>
  </si>
  <si>
    <r>
      <t xml:space="preserve">SUCc = Credit for Previous Contributions </t>
    </r>
    <r>
      <rPr>
        <sz val="10"/>
        <rFont val="Arial"/>
        <family val="2"/>
      </rPr>
      <t>(Policy s11(3))</t>
    </r>
  </si>
  <si>
    <t>Contributions towards the cost of the provision of off-street car parking spaces</t>
  </si>
  <si>
    <r>
      <t xml:space="preserve">Developer Contribution Rate </t>
    </r>
    <r>
      <rPr>
        <sz val="10"/>
        <rFont val="Arial"/>
        <family val="2"/>
      </rPr>
      <t>(Policy s2)</t>
    </r>
  </si>
  <si>
    <t>Sub-regional centre (Policy map 3.3A)</t>
  </si>
  <si>
    <t>ED = Demand</t>
  </si>
  <si>
    <t>PC = Existing Lawful Use</t>
  </si>
  <si>
    <t>Mixed Use - Low Impact Residential, Tourist</t>
  </si>
  <si>
    <t>Mixed Use - Low Impact Residential,</t>
  </si>
  <si>
    <t>RESIDENTIAL PLANNING AREA</t>
  </si>
  <si>
    <t>TDU/unit</t>
  </si>
  <si>
    <t>Park Residential</t>
  </si>
  <si>
    <t>Convenience Centre</t>
  </si>
  <si>
    <t>Hazardous or Noxious Industry</t>
  </si>
  <si>
    <t>Rural 10</t>
  </si>
  <si>
    <t>Rural 40</t>
  </si>
  <si>
    <t>Rural 400</t>
  </si>
  <si>
    <t>BALGAL BEACH, MYSTIC SANDS &amp; ROLLINGSTONE</t>
  </si>
  <si>
    <t>Residential</t>
  </si>
  <si>
    <t>Large Lot Residential</t>
  </si>
  <si>
    <t>Future Residential</t>
  </si>
  <si>
    <t>TOOMULLA</t>
  </si>
  <si>
    <t>TOOLAKEA</t>
  </si>
  <si>
    <t>SAUNDERS BEACH</t>
  </si>
  <si>
    <t>PALUMA</t>
  </si>
  <si>
    <t>RIVERWAY (PIONEER PARK)</t>
  </si>
  <si>
    <t>Mixed Use - Low impact Tourism</t>
  </si>
  <si>
    <t>Constrained Land – Limited Low Impact Residential</t>
  </si>
  <si>
    <t xml:space="preserve">2a. Applicable Index for 'works' </t>
  </si>
  <si>
    <t xml:space="preserve">(i) Amended  on Summary :  '2a Aplicable index' will apply to 'works' only  (ii) On Summary RBCI removed from 'Land'  and CPI applied                                     (iii)  Inflationary adjustment for Dec '11 </t>
  </si>
  <si>
    <t>Mixed Use - Commercial</t>
  </si>
  <si>
    <t>Mixed Use - Reside Education, Conference</t>
  </si>
  <si>
    <t>Consrained Land - Tourist</t>
  </si>
  <si>
    <t>Constrained Land - Commercial</t>
  </si>
  <si>
    <t>Mixed Use - Tourism</t>
  </si>
  <si>
    <t>Mixed Use - Tourst Accom (B/B)</t>
  </si>
  <si>
    <t>Mixed Use - Commercial Community Purposes</t>
  </si>
  <si>
    <t>Mixed Use - Sport &amp; Rec</t>
  </si>
  <si>
    <t>TDU's</t>
  </si>
  <si>
    <t>Village Sub-area (Residential)</t>
  </si>
  <si>
    <t>Residential East sub-area</t>
  </si>
  <si>
    <t>Residential West sub-area</t>
  </si>
  <si>
    <t>Warehouse</t>
  </si>
  <si>
    <t>Light and Service Industry</t>
  </si>
  <si>
    <t>Fast Food Store</t>
  </si>
  <si>
    <t>SUCs (SU)</t>
  </si>
  <si>
    <t>Public Garden and Recreation Space</t>
  </si>
  <si>
    <t>Thuringowa City (other than Rural zoning)</t>
  </si>
  <si>
    <t>Planning Scheme Policy for infrastructure contributions - stormwater and transport infrastructure (Stormwater)</t>
  </si>
  <si>
    <t>EDU/unit</t>
  </si>
  <si>
    <t>Material Change of Use</t>
  </si>
  <si>
    <r>
      <t xml:space="preserve">CR = Developer Contribution Rate </t>
    </r>
    <r>
      <rPr>
        <sz val="10"/>
        <rFont val="Arial"/>
        <family val="2"/>
      </rPr>
      <t>(Policy s10)</t>
    </r>
  </si>
  <si>
    <t>Developer Contributions</t>
  </si>
  <si>
    <t>Component</t>
  </si>
  <si>
    <t>Planning Scheme Policy for infrastructure contributions - stormwater and transport infrastructure (Pedestrians and Bikeways)</t>
  </si>
  <si>
    <t>DU's</t>
  </si>
  <si>
    <t>DU/unit</t>
  </si>
  <si>
    <t>TBP1 - Thuringowa</t>
  </si>
  <si>
    <t>$/DU</t>
  </si>
  <si>
    <t>Charge</t>
  </si>
  <si>
    <t>Trunk sewers &amp; pump systems (Hs)</t>
  </si>
  <si>
    <t>= Rs x (SU - SUCs - SUCc)</t>
  </si>
  <si>
    <t>Treatment plants &amp; outfalls (Ht)</t>
  </si>
  <si>
    <t>= Rt x (SU - Sut - SUCc)</t>
  </si>
  <si>
    <t>Developer Contribution</t>
  </si>
  <si>
    <t>In-lieu of offstreet car park space(s)</t>
  </si>
  <si>
    <t>Developer Contribution (TBIC)</t>
  </si>
  <si>
    <t>Pedestrian &amp; Bikeways (TBIC)</t>
  </si>
  <si>
    <t>= (ED - PC) x CR</t>
  </si>
  <si>
    <t>Details</t>
  </si>
  <si>
    <t>Address</t>
  </si>
  <si>
    <t>Description</t>
  </si>
  <si>
    <t>Development Application No.</t>
  </si>
  <si>
    <t>Name of Applicant</t>
  </si>
  <si>
    <t>Council Officer</t>
  </si>
  <si>
    <t>Calculation Date</t>
  </si>
  <si>
    <t>Outputs</t>
  </si>
  <si>
    <t>Indexation</t>
  </si>
  <si>
    <t>RBCI</t>
  </si>
  <si>
    <t>1. Fill out the application details in the 'Summary' worksheet, then proceed through the other worksheets which represent the relevant policies.</t>
  </si>
  <si>
    <t>At time of deciding a development application</t>
  </si>
  <si>
    <t>At time of payment</t>
  </si>
  <si>
    <t>Notes</t>
  </si>
  <si>
    <t>Quarter</t>
  </si>
  <si>
    <t>Value</t>
  </si>
  <si>
    <t>Jun '08</t>
  </si>
  <si>
    <t>(Last amended Sept '08)</t>
  </si>
  <si>
    <t>(Last amended Sept 08)</t>
  </si>
  <si>
    <t>Note - Base Rate &amp; RBCI set per policy, updated RBCI as per 'Summary'</t>
  </si>
  <si>
    <t>Sept '08</t>
  </si>
  <si>
    <t>(Last amended Sept '08))</t>
  </si>
  <si>
    <t>$/TDU</t>
  </si>
  <si>
    <r>
      <t>Approved Value of Work</t>
    </r>
    <r>
      <rPr>
        <b/>
        <sz val="10"/>
        <rFont val="Cambria"/>
        <family val="1"/>
      </rPr>
      <t>¹</t>
    </r>
  </si>
  <si>
    <t>¹ balance of unclaimed credit if a staged development</t>
  </si>
  <si>
    <r>
      <t>Approved Value of Work</t>
    </r>
    <r>
      <rPr>
        <b/>
        <sz val="10"/>
        <rFont val="Cambria"/>
        <family val="1"/>
      </rPr>
      <t>²</t>
    </r>
  </si>
  <si>
    <t>²balance of unclaimed credit if a staged development</t>
  </si>
  <si>
    <t>³for the land subject of the development</t>
  </si>
  <si>
    <r>
      <t>No. of SU's Previously Paid</t>
    </r>
    <r>
      <rPr>
        <b/>
        <sz val="10"/>
        <rFont val="Cambria"/>
        <family val="1"/>
      </rPr>
      <t>³</t>
    </r>
  </si>
  <si>
    <t>(At time of payment - update this to the last June Quarter)</t>
  </si>
  <si>
    <t>Version</t>
  </si>
  <si>
    <t>Policies Effective from</t>
  </si>
  <si>
    <t>Changes made</t>
  </si>
  <si>
    <t>Date introduced</t>
  </si>
  <si>
    <t>P0100</t>
  </si>
  <si>
    <t>CON65</t>
  </si>
  <si>
    <t>CON70</t>
  </si>
  <si>
    <t>CON95</t>
  </si>
  <si>
    <t>CON100</t>
  </si>
  <si>
    <t>CON60</t>
  </si>
  <si>
    <t>CON25</t>
  </si>
  <si>
    <t>CON40</t>
  </si>
  <si>
    <t>Disclaimer</t>
  </si>
  <si>
    <t>CON90</t>
  </si>
  <si>
    <t>TBA</t>
  </si>
  <si>
    <t>Sub-Regional Centre Commercial 1 - 5 Sub-Area</t>
  </si>
  <si>
    <t>lot</t>
  </si>
  <si>
    <t>EP/unit</t>
  </si>
  <si>
    <t>1.87 + 0.93/bed</t>
  </si>
  <si>
    <t>100m² RFA</t>
  </si>
  <si>
    <r>
      <t>Bulk Store &lt; 150m</t>
    </r>
    <r>
      <rPr>
        <sz val="10"/>
        <rFont val="Arial"/>
        <family val="2"/>
      </rPr>
      <t>²</t>
    </r>
    <r>
      <rPr>
        <sz val="10"/>
        <rFont val="Arial"/>
        <family val="2"/>
      </rPr>
      <t xml:space="preserve"> RFA</t>
    </r>
  </si>
  <si>
    <r>
      <t>Bulk Store (150m</t>
    </r>
    <r>
      <rPr>
        <sz val="10"/>
        <rFont val="Arial"/>
        <family val="2"/>
      </rPr>
      <t>²</t>
    </r>
    <r>
      <rPr>
        <sz val="10"/>
        <rFont val="Arial"/>
        <family val="2"/>
      </rPr>
      <t xml:space="preserve"> - 300m² RFA)</t>
    </r>
  </si>
  <si>
    <r>
      <t>Bulk Store &gt; 300m</t>
    </r>
    <r>
      <rPr>
        <sz val="10"/>
        <rFont val="Arial"/>
        <family val="2"/>
      </rPr>
      <t>²</t>
    </r>
    <r>
      <rPr>
        <sz val="10"/>
        <rFont val="Arial"/>
        <family val="2"/>
      </rPr>
      <t xml:space="preserve"> RFA</t>
    </r>
  </si>
  <si>
    <r>
      <t>RFA (m</t>
    </r>
    <r>
      <rPr>
        <sz val="10"/>
        <rFont val="Arial"/>
        <family val="2"/>
      </rPr>
      <t>²)</t>
    </r>
    <r>
      <rPr>
        <sz val="10"/>
        <rFont val="Arial"/>
        <family val="2"/>
      </rPr>
      <t xml:space="preserve"> </t>
    </r>
  </si>
  <si>
    <r>
      <t>4.2 + 0.35/150m</t>
    </r>
    <r>
      <rPr>
        <sz val="10"/>
        <rFont val="Arial"/>
        <family val="2"/>
      </rPr>
      <t>²</t>
    </r>
  </si>
  <si>
    <t>0.7 + 2.1/unit</t>
  </si>
  <si>
    <t>Source works ($Rs)</t>
  </si>
  <si>
    <t>Jun '06</t>
  </si>
  <si>
    <t>Index</t>
  </si>
  <si>
    <t>Reservoirs ($Rr)</t>
  </si>
  <si>
    <t>Delivery mains ($Rd)</t>
  </si>
  <si>
    <t>Distribution mains &amp; other works ($Rm)</t>
  </si>
  <si>
    <t>4. Reference is required to the policies for details of application, maps, etc. - this calculator is to be used in conjunction with those policies.</t>
  </si>
  <si>
    <t>Inflationary adjustment for June 2011</t>
  </si>
  <si>
    <t>This calculator is based on, but does not supercede the planning scheme policies for infrastructure. The currency, accuracy and validity of the calculations, including the underlying assumptions and interpretations of the policies are not guaranteed. In this respect, the user is referred to the actual planning scheme policies and provisions of the Sustainable Planning Act 2009.</t>
  </si>
  <si>
    <r>
      <t xml:space="preserve">Developer Contribution Rate </t>
    </r>
    <r>
      <rPr>
        <sz val="10"/>
        <rFont val="Arial"/>
        <family val="2"/>
      </rPr>
      <t>(Policy Table I)</t>
    </r>
  </si>
  <si>
    <r>
      <t xml:space="preserve">WU = Demand </t>
    </r>
    <r>
      <rPr>
        <sz val="10"/>
        <rFont val="Arial"/>
        <family val="2"/>
      </rPr>
      <t>(Policy Appendix B)</t>
    </r>
  </si>
  <si>
    <t>EP's</t>
  </si>
  <si>
    <t>(i) Updated for inflationary adjustment for Sep 2012 indices  (ii) Corrected formula in sewer for Shop &gt;300m² RFA  (ii) Correct formula in water for Warehouse &gt;300m² RFA  (iv) listed units and demand rates for Industry in Roads  (v) Corrected date of policy amendment in Park (vi) Corrected formula of waiver 6 for pathways in Summary worksheet.</t>
  </si>
  <si>
    <t xml:space="preserve">(i) Updated for inflationary adjustment for Dec 2012 indices   (ii) Added note for print error
</t>
  </si>
  <si>
    <t>Produce Store ≤150m² RFA</t>
  </si>
  <si>
    <t>Produce Store (150m² - 300m² RFA)</t>
  </si>
  <si>
    <t>Produce Store &gt; 300m² RFA</t>
  </si>
  <si>
    <t xml:space="preserve">RFA (m²) </t>
  </si>
  <si>
    <t>4.2 + 0.35/150m²</t>
  </si>
  <si>
    <t>Retail Warehouse ≤150m² RFA</t>
  </si>
  <si>
    <t>Retail Warehouse (150m² - 300m² RFA)</t>
  </si>
  <si>
    <t>Retail Warehouse &gt; 300m² RFA</t>
  </si>
  <si>
    <t>m² RFA</t>
  </si>
  <si>
    <t>Roadside Stalls</t>
  </si>
  <si>
    <t>Service Station ≤200m² RFA</t>
  </si>
  <si>
    <t>Service Station &gt; 200m² RFA</t>
  </si>
  <si>
    <t>2.8 + 2.8/100m²</t>
  </si>
  <si>
    <t>Shop ≤ 150m² RFA</t>
  </si>
  <si>
    <t>Shop (150m² - 300m² RFA)</t>
  </si>
  <si>
    <t>Shop &gt; 300m² RFA</t>
  </si>
  <si>
    <t>8.4+0.7/150m²</t>
  </si>
  <si>
    <t>Stables</t>
  </si>
  <si>
    <t>Each stables</t>
  </si>
  <si>
    <t>(i) Updated for inflationary adjustment for March 2013 indices (ii) Corrected demand rate for accommodation building in roads (iii) Added missing definitions in water (iv) Applied formula to allow park contribution only for subdivision</t>
  </si>
  <si>
    <t>Updated for inflationary adjustment for Sep 2013 indices</t>
  </si>
  <si>
    <t>Updated for inflationary adjustment for June 2013 indices</t>
  </si>
  <si>
    <t>(i) Updated for inflationary adjustment for Dec 2013 indices (ii) Corrected transport demand rate for Funeral Parlour, Office, Shopping Centre 30,000 - 40,000m2 GFA, Showroom, Vehicle Repair Premises, Wrecking/Salvage Yard</t>
  </si>
  <si>
    <t>(i) Updated for inflationary adjustment for March 2014 indices (ii) Applied adjustment in Summary for rounding error</t>
  </si>
  <si>
    <t>Updated for inflationary adjustment for June 2014 indices</t>
  </si>
  <si>
    <t>Updated for Sep '14 indices</t>
  </si>
  <si>
    <t>Updated for Dec '14 indices</t>
  </si>
  <si>
    <t>5.30</t>
  </si>
  <si>
    <t>Updated for Mar '15 indices</t>
  </si>
  <si>
    <t>Updated for Jun '15 indicies</t>
  </si>
  <si>
    <t>Updated for Sep '15 indices</t>
  </si>
  <si>
    <t>Updated for Dec '15 indices</t>
  </si>
  <si>
    <t>Updated for Mar '16 indices</t>
  </si>
  <si>
    <t>Updated for Jun '16 indices</t>
  </si>
  <si>
    <t>Updated for Sep '16 indices</t>
  </si>
  <si>
    <t>Updated for Dec '16 indices</t>
  </si>
  <si>
    <t>Updated for Mar '17 indicies</t>
  </si>
  <si>
    <t>Updated for JUN '17 indicies</t>
  </si>
  <si>
    <t>5.40</t>
  </si>
  <si>
    <t>Updated for DEC 17 indicies</t>
  </si>
  <si>
    <t>Updated for SEP 17 indicicies</t>
  </si>
  <si>
    <t>Updated for MAR 18 indicies</t>
  </si>
  <si>
    <t>Updated for June 18 indicies</t>
  </si>
  <si>
    <t>updated indicies</t>
  </si>
  <si>
    <t>Payment quarter</t>
  </si>
  <si>
    <t>Index. Quarter</t>
  </si>
  <si>
    <t>5.60</t>
  </si>
  <si>
    <t>5.50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</si>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</sst>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d/m/yyyy;@"/>
    <numFmt numFmtId="172" formatCode="[$-C09]d\ mmmm\ yyyy;@"/>
    <numFmt numFmtId="173" formatCode="mmm\'yy"/>
  </numFmts>
  <fonts count="59" x14ac:knownFonts="1">
    <font>
      <sz val="10"/>
      <name val="Arial"/>
    </font>
    <font>
      <sz val="11"/>
      <color theme="1"/>
      <name val="Calibri"/>
      <family val="2"/>
      <scheme val="minor"/>
    </font>
    <font>
      <sz val="10"/>
      <color indexed="8"/>
      <name val="Arial"/>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sz val="11"/>
      <name val="Arial"/>
      <family val="2"/>
    </font>
    <font>
      <sz val="9"/>
      <name val="Arial"/>
      <family val="2"/>
    </font>
    <font>
      <u/>
      <sz val="10"/>
      <name val="Arial"/>
      <family val="2"/>
    </font>
    <font>
      <b/>
      <sz val="10"/>
      <name val="Cambria"/>
      <family val="1"/>
    </font>
    <font>
      <sz val="10"/>
      <name val="Cambria"/>
      <family val="1"/>
    </font>
    <font>
      <u/>
      <sz val="9"/>
      <name val="Arial"/>
      <family val="2"/>
    </font>
    <font>
      <sz val="12"/>
      <name val="Arial"/>
      <family val="2"/>
    </font>
    <font>
      <u val="singleAccounting"/>
      <sz val="10"/>
      <name val="Arial"/>
      <family val="2"/>
    </font>
    <font>
      <b/>
      <u val="doubleAccounting"/>
      <sz val="10"/>
      <name val="Arial"/>
      <family val="2"/>
    </font>
    <font>
      <b/>
      <u/>
      <sz val="11"/>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25"/>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name val="Arial Narrow"/>
      <family val="2"/>
    </font>
    <font>
      <sz val="10"/>
      <name val="Arial Narrow"/>
      <family val="2"/>
    </font>
    <font>
      <sz val="8"/>
      <name val="Arial"/>
      <family val="2"/>
    </font>
    <font>
      <u/>
      <sz val="8"/>
      <name val="Arial"/>
      <family val="2"/>
    </font>
    <font>
      <u/>
      <sz val="10"/>
      <name val="Arial"/>
      <family val="2"/>
    </font>
    <font>
      <sz val="10"/>
      <color indexed="10"/>
      <name val="Arial"/>
      <family val="2"/>
    </font>
    <font>
      <sz val="10"/>
      <name val="Arial"/>
      <family val="2"/>
    </font>
    <font>
      <u/>
      <sz val="10"/>
      <color indexed="12"/>
      <name val="Arial"/>
      <family val="2"/>
    </font>
    <font>
      <sz val="10"/>
      <name val="Arial"/>
      <family val="2"/>
    </font>
    <font>
      <sz val="10"/>
      <name val="Arial"/>
      <family val="2"/>
    </font>
    <font>
      <sz val="11"/>
      <color indexed="18"/>
      <name val="Calibri"/>
      <family val="2"/>
    </font>
    <font>
      <sz val="11"/>
      <color theme="1"/>
      <name val="Calibri"/>
      <family val="2"/>
      <scheme val="minor"/>
    </font>
    <font>
      <sz val="10"/>
      <color theme="1"/>
      <name val="Arial"/>
      <family val="2"/>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132">
    <xf numFmtId="0" fontId="0" fillId="0" borderId="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172"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172" fontId="27" fillId="2"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172"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172" fontId="27" fillId="3"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172"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2" fontId="27" fillId="4"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172"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172" fontId="27" fillId="6"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172"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72" fontId="27" fillId="7"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172"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172" fontId="27" fillId="5"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172"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172" fontId="27" fillId="8"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172"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2" fontId="27"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172"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172"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172" fontId="28" fillId="1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172"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172"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172"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172"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172"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172"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172"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172"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72"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172"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172"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172"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172"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172"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172"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172"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172"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2"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172"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2"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172"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172"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172"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172"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172" fontId="28" fillId="19"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172"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172"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172" fontId="29"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172"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172" fontId="30" fillId="20" borderId="1" applyNumberFormat="0" applyAlignment="0" applyProtection="0"/>
    <xf numFmtId="0" fontId="30" fillId="20" borderId="1" applyNumberFormat="0" applyAlignment="0" applyProtection="0"/>
    <xf numFmtId="0" fontId="30" fillId="20" borderId="1" applyNumberFormat="0" applyAlignment="0" applyProtection="0"/>
    <xf numFmtId="172" fontId="30" fillId="20" borderId="1"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172"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172" fontId="31" fillId="21" borderId="2" applyNumberFormat="0" applyAlignment="0" applyProtection="0"/>
    <xf numFmtId="0" fontId="31" fillId="21" borderId="2" applyNumberFormat="0" applyAlignment="0" applyProtection="0"/>
    <xf numFmtId="0" fontId="31" fillId="21" borderId="2" applyNumberFormat="0" applyAlignment="0" applyProtection="0"/>
    <xf numFmtId="172" fontId="31"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172"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172"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72" fontId="32" fillId="0" borderId="0" applyNumberFormat="0" applyFill="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172"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172"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172" fontId="33" fillId="4" borderId="0" applyNumberFormat="0" applyBorder="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172"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172" fontId="34" fillId="0" borderId="3" applyNumberFormat="0" applyFill="0" applyAlignment="0" applyProtection="0"/>
    <xf numFmtId="0" fontId="34" fillId="0" borderId="3" applyNumberFormat="0" applyFill="0" applyAlignment="0" applyProtection="0"/>
    <xf numFmtId="0" fontId="34" fillId="0" borderId="3" applyNumberFormat="0" applyFill="0" applyAlignment="0" applyProtection="0"/>
    <xf numFmtId="172" fontId="34" fillId="0" borderId="3"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172"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172" fontId="35" fillId="0" borderId="4"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172" fontId="35" fillId="0" borderId="4"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172"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172"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172" fontId="36" fillId="0" borderId="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172"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172"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2" fontId="36" fillId="0" borderId="0" applyNumberFormat="0" applyFill="0" applyBorder="0" applyAlignment="0" applyProtection="0"/>
    <xf numFmtId="0" fontId="37" fillId="0" borderId="0" applyNumberFormat="0" applyFill="0" applyBorder="0" applyAlignment="0" applyProtection="0">
      <alignment vertical="top"/>
      <protection locked="0"/>
    </xf>
    <xf numFmtId="172"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172" fontId="38" fillId="7" borderId="1" applyNumberFormat="0" applyAlignment="0" applyProtection="0"/>
    <xf numFmtId="172"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8" fillId="7" borderId="1" applyNumberFormat="0" applyAlignment="0" applyProtection="0"/>
    <xf numFmtId="172" fontId="38" fillId="7" borderId="1" applyNumberFormat="0" applyAlignment="0" applyProtection="0"/>
    <xf numFmtId="172" fontId="38" fillId="7" borderId="1" applyNumberFormat="0" applyAlignment="0" applyProtection="0"/>
    <xf numFmtId="0" fontId="38" fillId="7" borderId="1" applyNumberFormat="0" applyAlignment="0" applyProtection="0"/>
    <xf numFmtId="0" fontId="38" fillId="7" borderId="1" applyNumberFormat="0" applyAlignment="0" applyProtection="0"/>
    <xf numFmtId="172" fontId="38" fillId="7" borderId="1" applyNumberFormat="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172"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172" fontId="39"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172" fontId="39" fillId="0" borderId="6" applyNumberFormat="0" applyFill="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172"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72" fontId="40" fillId="22" borderId="0" applyNumberFormat="0" applyBorder="0" applyAlignment="0" applyProtection="0"/>
    <xf numFmtId="0" fontId="56" fillId="0" borderId="0"/>
    <xf numFmtId="0" fontId="3" fillId="0" borderId="0"/>
    <xf numFmtId="0" fontId="56" fillId="0" borderId="0"/>
    <xf numFmtId="172" fontId="3" fillId="0" borderId="0"/>
    <xf numFmtId="0" fontId="3" fillId="0" borderId="0"/>
    <xf numFmtId="0" fontId="3" fillId="0" borderId="0"/>
    <xf numFmtId="0" fontId="54" fillId="0" borderId="0"/>
    <xf numFmtId="0" fontId="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3"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3" fillId="0" borderId="0"/>
    <xf numFmtId="0" fontId="56" fillId="0" borderId="0"/>
    <xf numFmtId="0" fontId="3" fillId="0" borderId="0"/>
    <xf numFmtId="0" fontId="3" fillId="0" borderId="0"/>
    <xf numFmtId="172" fontId="3" fillId="0" borderId="0"/>
    <xf numFmtId="172" fontId="3" fillId="0" borderId="0"/>
    <xf numFmtId="0" fontId="3" fillId="0" borderId="0"/>
    <xf numFmtId="0" fontId="56" fillId="0" borderId="0"/>
    <xf numFmtId="0" fontId="56" fillId="0" borderId="0"/>
    <xf numFmtId="0" fontId="56" fillId="0" borderId="0"/>
    <xf numFmtId="0" fontId="56" fillId="0" borderId="0"/>
    <xf numFmtId="172" fontId="3" fillId="0" borderId="0"/>
    <xf numFmtId="172" fontId="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56" fillId="0" borderId="0"/>
    <xf numFmtId="0" fontId="56" fillId="0" borderId="0"/>
    <xf numFmtId="0" fontId="56" fillId="0" borderId="0"/>
    <xf numFmtId="0" fontId="56" fillId="0" borderId="0"/>
    <xf numFmtId="0" fontId="3" fillId="0" borderId="0"/>
    <xf numFmtId="0" fontId="57" fillId="0" borderId="0"/>
    <xf numFmtId="0" fontId="3" fillId="0" borderId="0"/>
    <xf numFmtId="0" fontId="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8" fillId="0" borderId="0"/>
    <xf numFmtId="0" fontId="3" fillId="0" borderId="0"/>
    <xf numFmtId="0" fontId="3" fillId="0" borderId="0"/>
    <xf numFmtId="0" fontId="3" fillId="0" borderId="0"/>
    <xf numFmtId="172" fontId="3" fillId="0" borderId="0"/>
    <xf numFmtId="172" fontId="3" fillId="0" borderId="0"/>
    <xf numFmtId="172" fontId="3" fillId="0" borderId="0"/>
    <xf numFmtId="0" fontId="3" fillId="0" borderId="0"/>
    <xf numFmtId="0" fontId="3" fillId="0" borderId="0"/>
    <xf numFmtId="0" fontId="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 fillId="0" borderId="0"/>
    <xf numFmtId="0" fontId="56" fillId="0" borderId="0"/>
    <xf numFmtId="0" fontId="56" fillId="0" borderId="0"/>
    <xf numFmtId="0" fontId="56"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xf numFmtId="0" fontId="3" fillId="0" borderId="0"/>
    <xf numFmtId="0" fontId="3" fillId="0" borderId="0"/>
    <xf numFmtId="0" fontId="8" fillId="0" borderId="0"/>
    <xf numFmtId="0" fontId="57" fillId="0" borderId="0"/>
    <xf numFmtId="172" fontId="3" fillId="0" borderId="0"/>
    <xf numFmtId="0" fontId="57" fillId="0" borderId="0"/>
    <xf numFmtId="0" fontId="57" fillId="0" borderId="0"/>
    <xf numFmtId="0" fontId="3" fillId="0" borderId="0"/>
    <xf numFmtId="0" fontId="57" fillId="0" borderId="0"/>
    <xf numFmtId="0" fontId="3" fillId="0" borderId="0"/>
    <xf numFmtId="172" fontId="3" fillId="0" borderId="0"/>
    <xf numFmtId="0" fontId="57" fillId="0" borderId="0"/>
    <xf numFmtId="172" fontId="3" fillId="0" borderId="0"/>
    <xf numFmtId="0" fontId="3" fillId="0" borderId="0"/>
    <xf numFmtId="172" fontId="3" fillId="0" borderId="0"/>
    <xf numFmtId="0" fontId="3" fillId="0" borderId="0"/>
    <xf numFmtId="0" fontId="3" fillId="0" borderId="0"/>
    <xf numFmtId="0" fontId="57" fillId="0" borderId="0"/>
    <xf numFmtId="0" fontId="3" fillId="0" borderId="0"/>
    <xf numFmtId="0" fontId="57" fillId="0" borderId="0"/>
    <xf numFmtId="0" fontId="3" fillId="0" borderId="0"/>
    <xf numFmtId="172" fontId="3" fillId="0" borderId="0"/>
    <xf numFmtId="0" fontId="3" fillId="0" borderId="0"/>
    <xf numFmtId="172" fontId="3" fillId="0" borderId="0"/>
    <xf numFmtId="172" fontId="3" fillId="0" borderId="0"/>
    <xf numFmtId="172" fontId="3" fillId="0" borderId="0"/>
    <xf numFmtId="0" fontId="3" fillId="0" borderId="0"/>
    <xf numFmtId="0" fontId="57" fillId="0" borderId="0"/>
    <xf numFmtId="0" fontId="57" fillId="0" borderId="0"/>
    <xf numFmtId="172" fontId="57" fillId="0" borderId="0"/>
    <xf numFmtId="0" fontId="57" fillId="0" borderId="0"/>
    <xf numFmtId="172" fontId="57" fillId="0" borderId="0"/>
    <xf numFmtId="172" fontId="57" fillId="0" borderId="0"/>
    <xf numFmtId="172" fontId="57" fillId="0" borderId="0"/>
    <xf numFmtId="0" fontId="57" fillId="0" borderId="0"/>
    <xf numFmtId="172" fontId="57" fillId="0" borderId="0"/>
    <xf numFmtId="0" fontId="57" fillId="0" borderId="0"/>
    <xf numFmtId="0" fontId="57" fillId="0" borderId="0"/>
    <xf numFmtId="0" fontId="3" fillId="0" borderId="0"/>
    <xf numFmtId="172" fontId="57" fillId="0" borderId="0"/>
    <xf numFmtId="0" fontId="57" fillId="0" borderId="0"/>
    <xf numFmtId="172" fontId="3" fillId="0" borderId="0"/>
    <xf numFmtId="0" fontId="3" fillId="0" borderId="0"/>
    <xf numFmtId="172" fontId="3" fillId="0" borderId="0"/>
    <xf numFmtId="0" fontId="3" fillId="0" borderId="0"/>
    <xf numFmtId="0" fontId="3" fillId="0" borderId="0"/>
    <xf numFmtId="0" fontId="56" fillId="0" borderId="0"/>
    <xf numFmtId="0" fontId="56" fillId="0" borderId="0"/>
    <xf numFmtId="0" fontId="56" fillId="0" borderId="0"/>
    <xf numFmtId="0" fontId="57" fillId="0" borderId="0"/>
    <xf numFmtId="0" fontId="56" fillId="0" borderId="0"/>
    <xf numFmtId="0" fontId="56" fillId="0" borderId="0"/>
    <xf numFmtId="0" fontId="57" fillId="0" borderId="0"/>
    <xf numFmtId="0" fontId="57" fillId="0" borderId="0"/>
    <xf numFmtId="0" fontId="3" fillId="0" borderId="0"/>
    <xf numFmtId="0" fontId="3" fillId="0" borderId="0"/>
    <xf numFmtId="0" fontId="56" fillId="0" borderId="0"/>
    <xf numFmtId="172" fontId="3" fillId="0" borderId="0"/>
    <xf numFmtId="0" fontId="56" fillId="0" borderId="0"/>
    <xf numFmtId="172" fontId="3" fillId="0" borderId="0"/>
    <xf numFmtId="0" fontId="56" fillId="0" borderId="0"/>
    <xf numFmtId="0" fontId="3" fillId="0" borderId="0"/>
    <xf numFmtId="0" fontId="3" fillId="0" borderId="0"/>
    <xf numFmtId="172" fontId="3" fillId="0" borderId="0"/>
    <xf numFmtId="0" fontId="3" fillId="0" borderId="0"/>
    <xf numFmtId="172" fontId="3" fillId="0" borderId="0"/>
    <xf numFmtId="0" fontId="56" fillId="0" borderId="0"/>
    <xf numFmtId="172" fontId="3" fillId="0" borderId="0"/>
    <xf numFmtId="172" fontId="3" fillId="0" borderId="0"/>
    <xf numFmtId="0" fontId="3" fillId="0" borderId="0"/>
    <xf numFmtId="172" fontId="3" fillId="0" borderId="0"/>
    <xf numFmtId="0" fontId="56" fillId="0" borderId="0"/>
    <xf numFmtId="0" fontId="56" fillId="0" borderId="0"/>
    <xf numFmtId="172" fontId="3" fillId="0" borderId="0"/>
    <xf numFmtId="0" fontId="57" fillId="0" borderId="0"/>
    <xf numFmtId="0" fontId="3" fillId="0" borderId="0"/>
    <xf numFmtId="0" fontId="57" fillId="0" borderId="0"/>
    <xf numFmtId="0" fontId="56" fillId="0" borderId="0"/>
    <xf numFmtId="172" fontId="3" fillId="0" borderId="0"/>
    <xf numFmtId="0" fontId="56" fillId="0" borderId="0"/>
    <xf numFmtId="172" fontId="3" fillId="0" borderId="0"/>
    <xf numFmtId="0" fontId="56" fillId="0" borderId="0"/>
    <xf numFmtId="172" fontId="3" fillId="0" borderId="0"/>
    <xf numFmtId="0" fontId="3" fillId="0" borderId="0"/>
    <xf numFmtId="0" fontId="3" fillId="0" borderId="0"/>
    <xf numFmtId="0" fontId="56" fillId="0" borderId="0"/>
    <xf numFmtId="0" fontId="56" fillId="0" borderId="0"/>
    <xf numFmtId="0" fontId="3" fillId="0" borderId="0"/>
    <xf numFmtId="0" fontId="3" fillId="0" borderId="0"/>
    <xf numFmtId="0" fontId="57" fillId="0" borderId="0"/>
    <xf numFmtId="0" fontId="3" fillId="0" borderId="0"/>
    <xf numFmtId="0" fontId="57" fillId="0" borderId="0"/>
    <xf numFmtId="0" fontId="56" fillId="0" borderId="0"/>
    <xf numFmtId="0" fontId="3" fillId="0" borderId="0"/>
    <xf numFmtId="172" fontId="3" fillId="0" borderId="0"/>
    <xf numFmtId="0" fontId="3" fillId="0" borderId="0"/>
    <xf numFmtId="0" fontId="57" fillId="0" borderId="0"/>
    <xf numFmtId="0" fontId="3" fillId="0" borderId="0"/>
    <xf numFmtId="0" fontId="57" fillId="0" borderId="0"/>
    <xf numFmtId="0" fontId="56" fillId="0" borderId="0"/>
    <xf numFmtId="172" fontId="3" fillId="0" borderId="0"/>
    <xf numFmtId="0" fontId="56" fillId="0" borderId="0"/>
    <xf numFmtId="172" fontId="3" fillId="0" borderId="0"/>
    <xf numFmtId="0" fontId="56" fillId="0" borderId="0"/>
    <xf numFmtId="172" fontId="3" fillId="0" borderId="0"/>
    <xf numFmtId="0" fontId="3" fillId="0" borderId="0"/>
    <xf numFmtId="172" fontId="3" fillId="0" borderId="0"/>
    <xf numFmtId="172" fontId="3" fillId="0" borderId="0"/>
    <xf numFmtId="172" fontId="53" fillId="0" borderId="0"/>
    <xf numFmtId="172" fontId="3" fillId="0" borderId="0"/>
    <xf numFmtId="172" fontId="3" fillId="0" borderId="0"/>
    <xf numFmtId="0" fontId="56" fillId="0" borderId="0"/>
    <xf numFmtId="0" fontId="56" fillId="0" borderId="0"/>
    <xf numFmtId="0" fontId="3" fillId="0" borderId="0"/>
    <xf numFmtId="0" fontId="3" fillId="0" borderId="0"/>
    <xf numFmtId="0" fontId="56" fillId="0" borderId="0"/>
    <xf numFmtId="0" fontId="57" fillId="0" borderId="0"/>
    <xf numFmtId="0" fontId="56" fillId="0" borderId="0"/>
    <xf numFmtId="0" fontId="57" fillId="0" borderId="0"/>
    <xf numFmtId="0" fontId="3" fillId="0" borderId="0"/>
    <xf numFmtId="0" fontId="51" fillId="0" borderId="0"/>
    <xf numFmtId="172" fontId="3" fillId="0" borderId="0"/>
    <xf numFmtId="0" fontId="3" fillId="0" borderId="0"/>
    <xf numFmtId="0" fontId="57" fillId="0" borderId="0"/>
    <xf numFmtId="172" fontId="3" fillId="0" borderId="0"/>
    <xf numFmtId="0" fontId="3" fillId="0" borderId="0"/>
    <xf numFmtId="0" fontId="3" fillId="0" borderId="0"/>
    <xf numFmtId="172" fontId="3" fillId="0" borderId="0"/>
    <xf numFmtId="0" fontId="57" fillId="0" borderId="0"/>
    <xf numFmtId="0" fontId="27" fillId="0" borderId="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172" fontId="27" fillId="23" borderId="7" applyNumberFormat="0" applyFont="0" applyAlignment="0" applyProtection="0"/>
    <xf numFmtId="0" fontId="27" fillId="23" borderId="7" applyNumberFormat="0" applyFont="0" applyAlignment="0" applyProtection="0"/>
    <xf numFmtId="0" fontId="27" fillId="23" borderId="7" applyNumberFormat="0" applyFont="0" applyAlignment="0" applyProtection="0"/>
    <xf numFmtId="172" fontId="27" fillId="23" borderId="7" applyNumberFormat="0" applyFon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172"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172" fontId="41" fillId="20" borderId="8" applyNumberFormat="0" applyAlignment="0" applyProtection="0"/>
    <xf numFmtId="0" fontId="41" fillId="20" borderId="8" applyNumberFormat="0" applyAlignment="0" applyProtection="0"/>
    <xf numFmtId="0" fontId="41" fillId="20" borderId="8" applyNumberFormat="0" applyAlignment="0" applyProtection="0"/>
    <xf numFmtId="172" fontId="41"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172"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172"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2" fontId="42" fillId="0" borderId="0" applyNumberFormat="0" applyFill="0" applyBorder="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172"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172"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172" fontId="43" fillId="0" borderId="9"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172"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172"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2" fontId="4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95">
    <xf numFmtId="0" fontId="0" fillId="0" borderId="0" xfId="0"/>
    <xf numFmtId="164" fontId="0" fillId="24" borderId="10" xfId="1582" applyNumberFormat="1" applyFont="1" applyFill="1" applyBorder="1"/>
    <xf numFmtId="164" fontId="0" fillId="24" borderId="11" xfId="1582" applyNumberFormat="1" applyFont="1" applyFill="1" applyBorder="1"/>
    <xf numFmtId="0" fontId="5" fillId="25" borderId="12" xfId="0" applyFont="1" applyFill="1" applyBorder="1"/>
    <xf numFmtId="0" fontId="5" fillId="25" borderId="13" xfId="0" applyFont="1" applyFill="1" applyBorder="1"/>
    <xf numFmtId="0" fontId="5" fillId="25" borderId="14" xfId="0" applyFont="1" applyFill="1" applyBorder="1"/>
    <xf numFmtId="0" fontId="0" fillId="25" borderId="14" xfId="0" applyFill="1" applyBorder="1"/>
    <xf numFmtId="0" fontId="5" fillId="25" borderId="11" xfId="0" applyFont="1" applyFill="1" applyBorder="1" applyAlignment="1">
      <alignment horizontal="center"/>
    </xf>
    <xf numFmtId="0" fontId="5" fillId="25" borderId="12" xfId="0" applyFont="1" applyFill="1" applyBorder="1" applyAlignment="1">
      <alignment horizontal="center"/>
    </xf>
    <xf numFmtId="165" fontId="0" fillId="24" borderId="11" xfId="1582" applyNumberFormat="1" applyFont="1" applyFill="1" applyBorder="1"/>
    <xf numFmtId="17" fontId="0" fillId="24" borderId="11" xfId="0" applyNumberFormat="1" applyFill="1" applyBorder="1"/>
    <xf numFmtId="166" fontId="0" fillId="24" borderId="11" xfId="1582" applyNumberFormat="1" applyFont="1" applyFill="1" applyBorder="1"/>
    <xf numFmtId="0" fontId="0" fillId="24" borderId="12" xfId="0" applyFill="1" applyBorder="1"/>
    <xf numFmtId="0" fontId="0" fillId="24" borderId="13" xfId="0" applyFill="1" applyBorder="1"/>
    <xf numFmtId="0" fontId="0" fillId="24" borderId="14" xfId="0" applyFill="1" applyBorder="1"/>
    <xf numFmtId="0" fontId="0" fillId="24" borderId="11" xfId="0" applyFill="1" applyBorder="1" applyAlignment="1">
      <alignment horizontal="right"/>
    </xf>
    <xf numFmtId="165" fontId="0" fillId="24" borderId="11" xfId="1582" applyNumberFormat="1" applyFont="1" applyFill="1" applyBorder="1" applyAlignment="1"/>
    <xf numFmtId="2" fontId="0" fillId="24" borderId="11" xfId="0" applyNumberFormat="1" applyFill="1" applyBorder="1"/>
    <xf numFmtId="0" fontId="0" fillId="24" borderId="10" xfId="0" applyFill="1" applyBorder="1"/>
    <xf numFmtId="164" fontId="5" fillId="24" borderId="11" xfId="1582" applyNumberFormat="1" applyFont="1" applyFill="1" applyBorder="1"/>
    <xf numFmtId="0" fontId="0" fillId="24" borderId="15" xfId="0" applyFill="1" applyBorder="1"/>
    <xf numFmtId="0" fontId="0" fillId="24" borderId="16" xfId="0" applyFill="1" applyBorder="1"/>
    <xf numFmtId="0" fontId="0" fillId="24" borderId="17" xfId="0" applyFill="1" applyBorder="1"/>
    <xf numFmtId="164" fontId="0" fillId="24" borderId="11" xfId="1582" applyNumberFormat="1" applyFont="1" applyFill="1" applyBorder="1" applyProtection="1">
      <protection locked="0"/>
    </xf>
    <xf numFmtId="0" fontId="5" fillId="25" borderId="10" xfId="0" quotePrefix="1" applyFont="1" applyFill="1" applyBorder="1" applyAlignment="1">
      <alignment horizontal="center"/>
    </xf>
    <xf numFmtId="17" fontId="5" fillId="25" borderId="18" xfId="0" quotePrefix="1" applyNumberFormat="1" applyFont="1" applyFill="1" applyBorder="1" applyAlignment="1">
      <alignment horizontal="center"/>
    </xf>
    <xf numFmtId="0" fontId="5" fillId="25" borderId="10" xfId="0" applyFont="1" applyFill="1" applyBorder="1" applyAlignment="1">
      <alignment horizontal="center"/>
    </xf>
    <xf numFmtId="17" fontId="5" fillId="25" borderId="18" xfId="0" applyNumberFormat="1" applyFont="1" applyFill="1" applyBorder="1" applyAlignment="1">
      <alignment horizontal="center"/>
    </xf>
    <xf numFmtId="169" fontId="0" fillId="24" borderId="11" xfId="1700" applyNumberFormat="1" applyFont="1" applyFill="1" applyBorder="1"/>
    <xf numFmtId="0" fontId="0" fillId="24" borderId="13" xfId="0" quotePrefix="1" applyFill="1" applyBorder="1"/>
    <xf numFmtId="0" fontId="13" fillId="24" borderId="15" xfId="0" applyFont="1" applyFill="1" applyBorder="1" applyAlignment="1">
      <alignment vertical="center"/>
    </xf>
    <xf numFmtId="0" fontId="13" fillId="24" borderId="17" xfId="0" applyFont="1" applyFill="1" applyBorder="1" applyAlignment="1">
      <alignment vertical="center"/>
    </xf>
    <xf numFmtId="0" fontId="13" fillId="24" borderId="12" xfId="0" applyFont="1" applyFill="1" applyBorder="1" applyAlignment="1">
      <alignment vertical="center"/>
    </xf>
    <xf numFmtId="0" fontId="13" fillId="24" borderId="14" xfId="0" applyFont="1" applyFill="1" applyBorder="1" applyAlignment="1">
      <alignment vertical="center"/>
    </xf>
    <xf numFmtId="0" fontId="13" fillId="24" borderId="19" xfId="0" applyFont="1" applyFill="1" applyBorder="1" applyAlignment="1">
      <alignment vertical="center"/>
    </xf>
    <xf numFmtId="0" fontId="13" fillId="24" borderId="20" xfId="0" applyFont="1" applyFill="1" applyBorder="1" applyAlignment="1">
      <alignment vertical="center"/>
    </xf>
    <xf numFmtId="0" fontId="17" fillId="24" borderId="16" xfId="0" applyFont="1" applyFill="1" applyBorder="1" applyAlignment="1">
      <alignment vertical="center"/>
    </xf>
    <xf numFmtId="0" fontId="13" fillId="24" borderId="17" xfId="0" applyFont="1" applyFill="1" applyBorder="1" applyAlignment="1">
      <alignment horizontal="center" vertical="center" wrapText="1"/>
    </xf>
    <xf numFmtId="17" fontId="13" fillId="24" borderId="21" xfId="0" quotePrefix="1" applyNumberFormat="1" applyFont="1" applyFill="1" applyBorder="1" applyAlignment="1">
      <alignment horizontal="center" vertical="center" wrapText="1"/>
    </xf>
    <xf numFmtId="17" fontId="13" fillId="24" borderId="20" xfId="0" quotePrefix="1" applyNumberFormat="1" applyFont="1" applyFill="1" applyBorder="1" applyAlignment="1">
      <alignment horizontal="center" vertical="center" wrapText="1"/>
    </xf>
    <xf numFmtId="17" fontId="13" fillId="24" borderId="21" xfId="0" applyNumberFormat="1" applyFont="1" applyFill="1" applyBorder="1" applyAlignment="1">
      <alignment horizontal="center"/>
    </xf>
    <xf numFmtId="17" fontId="13" fillId="24" borderId="20" xfId="0" applyNumberFormat="1" applyFont="1" applyFill="1" applyBorder="1" applyAlignment="1">
      <alignment horizontal="center"/>
    </xf>
    <xf numFmtId="0" fontId="13" fillId="24" borderId="22" xfId="0" applyFont="1" applyFill="1" applyBorder="1" applyAlignment="1">
      <alignment vertical="center"/>
    </xf>
    <xf numFmtId="0" fontId="13" fillId="24" borderId="0" xfId="0" applyFont="1" applyFill="1" applyAlignment="1">
      <alignment vertical="center"/>
    </xf>
    <xf numFmtId="0" fontId="13" fillId="24" borderId="23" xfId="0" applyFont="1" applyFill="1" applyBorder="1" applyAlignment="1">
      <alignment vertical="center"/>
    </xf>
    <xf numFmtId="0" fontId="13" fillId="24" borderId="22" xfId="0" applyFont="1" applyFill="1" applyBorder="1"/>
    <xf numFmtId="0" fontId="13" fillId="24" borderId="0" xfId="0" applyFont="1" applyFill="1"/>
    <xf numFmtId="0" fontId="13" fillId="24" borderId="19" xfId="0" applyFont="1" applyFill="1" applyBorder="1"/>
    <xf numFmtId="0" fontId="13" fillId="24" borderId="23" xfId="0" applyFont="1" applyFill="1" applyBorder="1"/>
    <xf numFmtId="0" fontId="13" fillId="24" borderId="21" xfId="0" applyFont="1" applyFill="1" applyBorder="1" applyAlignment="1">
      <alignment vertical="center"/>
    </xf>
    <xf numFmtId="0" fontId="13" fillId="24" borderId="21" xfId="0" applyFont="1" applyFill="1" applyBorder="1"/>
    <xf numFmtId="0" fontId="13" fillId="24" borderId="20" xfId="0" applyFont="1" applyFill="1" applyBorder="1"/>
    <xf numFmtId="17" fontId="13" fillId="24" borderId="14" xfId="0" applyNumberFormat="1" applyFont="1" applyFill="1" applyBorder="1" applyAlignment="1">
      <alignment horizontal="center"/>
    </xf>
    <xf numFmtId="17" fontId="13" fillId="24" borderId="17" xfId="0" applyNumberFormat="1" applyFont="1" applyFill="1" applyBorder="1" applyAlignment="1">
      <alignment horizontal="center"/>
    </xf>
    <xf numFmtId="0" fontId="13" fillId="24" borderId="17" xfId="0" applyFont="1" applyFill="1" applyBorder="1" applyAlignment="1">
      <alignment horizontal="center"/>
    </xf>
    <xf numFmtId="0" fontId="13" fillId="24" borderId="0" xfId="0" applyFont="1" applyFill="1" applyAlignment="1">
      <alignment vertical="center" wrapText="1"/>
    </xf>
    <xf numFmtId="0" fontId="13" fillId="24" borderId="10" xfId="0" quotePrefix="1" applyFont="1" applyFill="1" applyBorder="1" applyAlignment="1">
      <alignment horizontal="center" vertical="center" wrapText="1"/>
    </xf>
    <xf numFmtId="0" fontId="13" fillId="24" borderId="24" xfId="0" applyFont="1" applyFill="1" applyBorder="1" applyAlignment="1">
      <alignment horizontal="center"/>
    </xf>
    <xf numFmtId="167" fontId="0" fillId="24" borderId="11" xfId="0" applyNumberFormat="1" applyFill="1" applyBorder="1"/>
    <xf numFmtId="0" fontId="13" fillId="24" borderId="16" xfId="0" applyFont="1" applyFill="1" applyBorder="1" applyAlignment="1">
      <alignment vertical="center"/>
    </xf>
    <xf numFmtId="0" fontId="13" fillId="24" borderId="13" xfId="0" applyFont="1" applyFill="1" applyBorder="1" applyAlignment="1">
      <alignment vertical="center"/>
    </xf>
    <xf numFmtId="0" fontId="15" fillId="25" borderId="11" xfId="0" applyFont="1" applyFill="1" applyBorder="1" applyAlignment="1">
      <alignment horizontal="center" vertical="center"/>
    </xf>
    <xf numFmtId="17" fontId="0" fillId="24" borderId="11" xfId="0" applyNumberFormat="1" applyFill="1" applyBorder="1" applyAlignment="1">
      <alignment horizontal="right"/>
    </xf>
    <xf numFmtId="17" fontId="0" fillId="24" borderId="11" xfId="0" applyNumberFormat="1" applyFill="1" applyBorder="1" applyAlignment="1">
      <alignment horizontal="center"/>
    </xf>
    <xf numFmtId="17" fontId="0" fillId="24" borderId="11" xfId="0" quotePrefix="1" applyNumberFormat="1" applyFill="1" applyBorder="1" applyAlignment="1">
      <alignment horizontal="right"/>
    </xf>
    <xf numFmtId="0" fontId="5" fillId="25" borderId="18" xfId="0" applyFont="1" applyFill="1" applyBorder="1" applyAlignment="1">
      <alignment horizontal="center"/>
    </xf>
    <xf numFmtId="0" fontId="5" fillId="25" borderId="11" xfId="0" quotePrefix="1" applyFont="1" applyFill="1" applyBorder="1" applyAlignment="1">
      <alignment horizontal="center"/>
    </xf>
    <xf numFmtId="0" fontId="15" fillId="24" borderId="12" xfId="0" quotePrefix="1" applyFont="1" applyFill="1" applyBorder="1" applyAlignment="1">
      <alignment horizontal="left" vertical="center"/>
    </xf>
    <xf numFmtId="169" fontId="15" fillId="24" borderId="19" xfId="1700" applyNumberFormat="1" applyFont="1" applyFill="1" applyBorder="1" applyAlignment="1">
      <alignment vertical="center"/>
    </xf>
    <xf numFmtId="0" fontId="5" fillId="24" borderId="11" xfId="0" applyFont="1" applyFill="1" applyBorder="1" applyAlignment="1">
      <alignment horizontal="center" vertical="center" wrapText="1"/>
    </xf>
    <xf numFmtId="0" fontId="5" fillId="24" borderId="11" xfId="0" quotePrefix="1" applyFont="1" applyFill="1" applyBorder="1" applyAlignment="1">
      <alignment horizontal="center" vertical="center" wrapText="1"/>
    </xf>
    <xf numFmtId="0" fontId="13" fillId="24" borderId="18"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4" borderId="18" xfId="0" applyFont="1" applyFill="1" applyBorder="1" applyAlignment="1">
      <alignment horizontal="center"/>
    </xf>
    <xf numFmtId="0" fontId="13" fillId="24" borderId="11" xfId="0" applyFont="1" applyFill="1" applyBorder="1" applyAlignment="1">
      <alignment horizontal="center"/>
    </xf>
    <xf numFmtId="0" fontId="13" fillId="24" borderId="10" xfId="0" applyFont="1" applyFill="1" applyBorder="1" applyAlignment="1">
      <alignment horizontal="center"/>
    </xf>
    <xf numFmtId="167" fontId="0" fillId="24" borderId="11" xfId="0" applyNumberFormat="1" applyFill="1" applyBorder="1" applyAlignment="1">
      <alignment horizontal="center"/>
    </xf>
    <xf numFmtId="0" fontId="0" fillId="24" borderId="15" xfId="0" quotePrefix="1" applyFill="1" applyBorder="1" applyAlignment="1">
      <alignment horizontal="left"/>
    </xf>
    <xf numFmtId="0" fontId="0" fillId="24" borderId="12" xfId="0" quotePrefix="1" applyFill="1" applyBorder="1" applyAlignment="1">
      <alignment horizontal="left"/>
    </xf>
    <xf numFmtId="165" fontId="0" fillId="24" borderId="14" xfId="1582" applyNumberFormat="1" applyFont="1" applyFill="1" applyBorder="1"/>
    <xf numFmtId="17" fontId="0" fillId="24" borderId="11" xfId="0" quotePrefix="1" applyNumberFormat="1" applyFill="1" applyBorder="1" applyAlignment="1">
      <alignment horizontal="center"/>
    </xf>
    <xf numFmtId="166" fontId="0" fillId="24" borderId="11" xfId="1582" applyNumberFormat="1" applyFont="1" applyFill="1" applyBorder="1" applyAlignment="1">
      <alignment horizontal="center"/>
    </xf>
    <xf numFmtId="164" fontId="0" fillId="24" borderId="18" xfId="1582" applyNumberFormat="1" applyFont="1" applyFill="1" applyBorder="1" applyAlignment="1" applyProtection="1">
      <alignment horizontal="center"/>
    </xf>
    <xf numFmtId="164" fontId="0" fillId="24" borderId="11" xfId="1582" applyNumberFormat="1" applyFont="1" applyFill="1" applyBorder="1" applyProtection="1"/>
    <xf numFmtId="166" fontId="0" fillId="24" borderId="11" xfId="1582" applyNumberFormat="1" applyFont="1" applyFill="1" applyBorder="1" applyAlignment="1" applyProtection="1">
      <alignment horizontal="center"/>
    </xf>
    <xf numFmtId="0" fontId="11" fillId="24" borderId="15" xfId="0" quotePrefix="1" applyFont="1" applyFill="1" applyBorder="1" applyAlignment="1">
      <alignment vertical="center"/>
    </xf>
    <xf numFmtId="0" fontId="11" fillId="24" borderId="16" xfId="0" applyFont="1" applyFill="1" applyBorder="1" applyAlignment="1">
      <alignment vertical="center"/>
    </xf>
    <xf numFmtId="0" fontId="11" fillId="24" borderId="16" xfId="0" quotePrefix="1" applyFont="1" applyFill="1" applyBorder="1" applyAlignment="1">
      <alignment vertical="center"/>
    </xf>
    <xf numFmtId="169" fontId="8" fillId="24" borderId="10" xfId="1700" applyNumberFormat="1" applyFont="1" applyFill="1" applyBorder="1" applyAlignment="1">
      <alignment vertical="center"/>
    </xf>
    <xf numFmtId="0" fontId="0" fillId="24" borderId="16" xfId="0" applyFill="1" applyBorder="1" applyAlignment="1">
      <alignment vertical="center"/>
    </xf>
    <xf numFmtId="0" fontId="0" fillId="24" borderId="17" xfId="0" applyFill="1" applyBorder="1" applyAlignment="1">
      <alignment vertical="center"/>
    </xf>
    <xf numFmtId="0" fontId="11" fillId="24" borderId="12" xfId="0" quotePrefix="1" applyFont="1" applyFill="1" applyBorder="1" applyAlignment="1">
      <alignment vertical="center"/>
    </xf>
    <xf numFmtId="0" fontId="11" fillId="24" borderId="13" xfId="0" applyFont="1" applyFill="1" applyBorder="1" applyAlignment="1">
      <alignment vertical="center"/>
    </xf>
    <xf numFmtId="0" fontId="0" fillId="24" borderId="13" xfId="0" quotePrefix="1" applyFill="1" applyBorder="1" applyAlignment="1">
      <alignment horizontal="left" vertical="center"/>
    </xf>
    <xf numFmtId="0" fontId="0" fillId="24" borderId="13" xfId="0" applyFill="1" applyBorder="1" applyAlignment="1">
      <alignment vertical="center"/>
    </xf>
    <xf numFmtId="0" fontId="0" fillId="24" borderId="14" xfId="0" applyFill="1" applyBorder="1" applyAlignment="1">
      <alignment vertical="center"/>
    </xf>
    <xf numFmtId="0" fontId="11" fillId="24" borderId="13" xfId="0" quotePrefix="1" applyFont="1" applyFill="1" applyBorder="1" applyAlignment="1">
      <alignment vertical="center"/>
    </xf>
    <xf numFmtId="165" fontId="0" fillId="24" borderId="11" xfId="1582" applyNumberFormat="1" applyFont="1" applyFill="1" applyBorder="1" applyAlignment="1">
      <alignment horizontal="center"/>
    </xf>
    <xf numFmtId="164" fontId="0" fillId="24" borderId="11" xfId="1582" applyNumberFormat="1" applyFont="1" applyFill="1" applyBorder="1" applyAlignment="1">
      <alignment horizontal="center"/>
    </xf>
    <xf numFmtId="166" fontId="0" fillId="24" borderId="11" xfId="1582" applyNumberFormat="1" applyFont="1" applyFill="1" applyBorder="1" applyAlignment="1"/>
    <xf numFmtId="164" fontId="0" fillId="0" borderId="14" xfId="1582" applyNumberFormat="1" applyFont="1" applyFill="1" applyBorder="1" applyProtection="1">
      <protection locked="0"/>
    </xf>
    <xf numFmtId="0" fontId="5" fillId="24" borderId="15" xfId="0" applyFont="1" applyFill="1" applyBorder="1" applyAlignment="1">
      <alignment horizontal="center" vertical="center"/>
    </xf>
    <xf numFmtId="0" fontId="5" fillId="24" borderId="10"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7" xfId="0" applyFont="1" applyFill="1" applyBorder="1" applyAlignment="1">
      <alignment horizontal="center" vertical="center"/>
    </xf>
    <xf numFmtId="0" fontId="5" fillId="25" borderId="11" xfId="0" applyFont="1" applyFill="1" applyBorder="1" applyAlignment="1">
      <alignment horizontal="center" vertical="center"/>
    </xf>
    <xf numFmtId="0" fontId="0" fillId="24" borderId="18" xfId="0" applyFill="1" applyBorder="1"/>
    <xf numFmtId="0" fontId="0" fillId="24" borderId="19" xfId="0" applyFill="1" applyBorder="1"/>
    <xf numFmtId="0" fontId="5" fillId="24" borderId="17" xfId="0" applyFont="1" applyFill="1" applyBorder="1" applyAlignment="1">
      <alignment vertical="center"/>
    </xf>
    <xf numFmtId="0" fontId="0" fillId="24" borderId="11" xfId="0" applyFill="1" applyBorder="1"/>
    <xf numFmtId="164" fontId="0" fillId="0" borderId="11" xfId="1582" applyNumberFormat="1" applyFont="1" applyFill="1" applyBorder="1" applyProtection="1">
      <protection locked="0"/>
    </xf>
    <xf numFmtId="0" fontId="5" fillId="25" borderId="16" xfId="0" applyFont="1" applyFill="1" applyBorder="1" applyAlignment="1">
      <alignment horizontal="center" vertical="center"/>
    </xf>
    <xf numFmtId="0" fontId="5" fillId="25" borderId="10" xfId="0" applyFont="1" applyFill="1" applyBorder="1" applyAlignment="1">
      <alignment horizontal="center" vertical="center"/>
    </xf>
    <xf numFmtId="0" fontId="5" fillId="25" borderId="12" xfId="0" quotePrefix="1" applyFont="1" applyFill="1" applyBorder="1" applyAlignment="1">
      <alignment horizontal="center"/>
    </xf>
    <xf numFmtId="0" fontId="5" fillId="24" borderId="16" xfId="0" applyFont="1" applyFill="1" applyBorder="1" applyAlignment="1">
      <alignment horizontal="center" vertical="center"/>
    </xf>
    <xf numFmtId="0" fontId="15" fillId="25" borderId="11" xfId="0" quotePrefix="1" applyFont="1" applyFill="1" applyBorder="1" applyAlignment="1">
      <alignment horizontal="center" vertical="center" wrapText="1"/>
    </xf>
    <xf numFmtId="0" fontId="13" fillId="24" borderId="22" xfId="0" applyFont="1" applyFill="1" applyBorder="1" applyAlignment="1">
      <alignment horizontal="left" vertical="center" wrapText="1"/>
    </xf>
    <xf numFmtId="0" fontId="13" fillId="24" borderId="0" xfId="0" applyFont="1" applyFill="1" applyAlignment="1">
      <alignment horizontal="left" vertical="center" wrapText="1"/>
    </xf>
    <xf numFmtId="17" fontId="13" fillId="24" borderId="0" xfId="0" applyNumberFormat="1" applyFont="1" applyFill="1"/>
    <xf numFmtId="169" fontId="8" fillId="24" borderId="11" xfId="1700" applyNumberFormat="1" applyFont="1" applyFill="1" applyBorder="1" applyAlignment="1">
      <alignment vertical="center"/>
    </xf>
    <xf numFmtId="165" fontId="13" fillId="24" borderId="0" xfId="1582" applyNumberFormat="1" applyFont="1" applyFill="1" applyBorder="1" applyAlignment="1">
      <alignment horizontal="right"/>
    </xf>
    <xf numFmtId="165" fontId="13" fillId="24" borderId="23" xfId="1582" applyNumberFormat="1" applyFont="1" applyFill="1" applyBorder="1" applyAlignment="1">
      <alignment horizontal="right" vertical="center"/>
    </xf>
    <xf numFmtId="165" fontId="13" fillId="24" borderId="16" xfId="1582" applyNumberFormat="1" applyFont="1" applyFill="1" applyBorder="1" applyAlignment="1">
      <alignment horizontal="right" vertical="center" wrapText="1"/>
    </xf>
    <xf numFmtId="165" fontId="13" fillId="24" borderId="13" xfId="1582" applyNumberFormat="1" applyFont="1" applyFill="1" applyBorder="1" applyAlignment="1">
      <alignment horizontal="right"/>
    </xf>
    <xf numFmtId="165" fontId="13" fillId="24" borderId="16" xfId="1582" applyNumberFormat="1" applyFont="1" applyFill="1" applyBorder="1" applyAlignment="1">
      <alignment horizontal="right"/>
    </xf>
    <xf numFmtId="165" fontId="13" fillId="24" borderId="15" xfId="1582" applyNumberFormat="1" applyFont="1" applyFill="1" applyBorder="1" applyAlignment="1">
      <alignment horizontal="right"/>
    </xf>
    <xf numFmtId="165" fontId="13" fillId="24" borderId="22" xfId="1582" applyNumberFormat="1" applyFont="1" applyFill="1" applyBorder="1" applyAlignment="1">
      <alignment horizontal="right"/>
    </xf>
    <xf numFmtId="165" fontId="13" fillId="24" borderId="15" xfId="1582" applyNumberFormat="1" applyFont="1" applyFill="1" applyBorder="1"/>
    <xf numFmtId="165" fontId="13" fillId="24" borderId="19" xfId="1582" applyNumberFormat="1" applyFont="1" applyFill="1" applyBorder="1" applyAlignment="1">
      <alignment horizontal="right"/>
    </xf>
    <xf numFmtId="17" fontId="0" fillId="24" borderId="11" xfId="0" quotePrefix="1" applyNumberFormat="1" applyFill="1" applyBorder="1" applyAlignment="1">
      <alignment horizontal="left"/>
    </xf>
    <xf numFmtId="167" fontId="0" fillId="24" borderId="11" xfId="0" quotePrefix="1" applyNumberFormat="1" applyFill="1" applyBorder="1" applyAlignment="1">
      <alignment horizontal="center"/>
    </xf>
    <xf numFmtId="167" fontId="0" fillId="24" borderId="11" xfId="0" quotePrefix="1" applyNumberFormat="1" applyFill="1" applyBorder="1" applyAlignment="1">
      <alignment horizontal="right"/>
    </xf>
    <xf numFmtId="0" fontId="0" fillId="26" borderId="0" xfId="0" applyFill="1"/>
    <xf numFmtId="0" fontId="9" fillId="26" borderId="0" xfId="0" applyFont="1" applyFill="1"/>
    <xf numFmtId="0" fontId="10" fillId="26" borderId="0" xfId="0" quotePrefix="1" applyFont="1" applyFill="1" applyAlignment="1">
      <alignment horizontal="left"/>
    </xf>
    <xf numFmtId="0" fontId="0" fillId="26" borderId="0" xfId="0" quotePrefix="1" applyFill="1" applyAlignment="1">
      <alignment horizontal="left"/>
    </xf>
    <xf numFmtId="0" fontId="18" fillId="26" borderId="0" xfId="0" applyFont="1" applyFill="1" applyAlignment="1">
      <alignment horizontal="left"/>
    </xf>
    <xf numFmtId="0" fontId="18" fillId="26" borderId="0" xfId="0" applyFont="1" applyFill="1"/>
    <xf numFmtId="0" fontId="7" fillId="26" borderId="0" xfId="0" applyFont="1" applyFill="1" applyAlignment="1">
      <alignment horizontal="left"/>
    </xf>
    <xf numFmtId="0" fontId="13" fillId="26" borderId="0" xfId="0" applyFont="1" applyFill="1"/>
    <xf numFmtId="0" fontId="15" fillId="26" borderId="0" xfId="0" applyFont="1" applyFill="1"/>
    <xf numFmtId="17" fontId="13" fillId="26" borderId="0" xfId="0" applyNumberFormat="1" applyFont="1" applyFill="1" applyAlignment="1">
      <alignment vertical="center"/>
    </xf>
    <xf numFmtId="0" fontId="13" fillId="26" borderId="0" xfId="0" applyFont="1" applyFill="1" applyAlignment="1">
      <alignment vertical="center" wrapText="1"/>
    </xf>
    <xf numFmtId="0" fontId="13" fillId="26" borderId="0" xfId="0" applyFont="1" applyFill="1" applyAlignment="1">
      <alignment horizontal="center"/>
    </xf>
    <xf numFmtId="0" fontId="17" fillId="26" borderId="0" xfId="0" quotePrefix="1" applyFont="1" applyFill="1" applyAlignment="1">
      <alignment horizontal="left"/>
    </xf>
    <xf numFmtId="0" fontId="14" fillId="26" borderId="0" xfId="0" applyFont="1" applyFill="1" applyAlignment="1">
      <alignment vertical="center" wrapText="1"/>
    </xf>
    <xf numFmtId="0" fontId="13" fillId="26" borderId="0" xfId="0" applyFont="1" applyFill="1" applyAlignment="1">
      <alignment horizontal="center" vertical="center" wrapText="1"/>
    </xf>
    <xf numFmtId="0" fontId="13" fillId="26" borderId="0" xfId="0" quotePrefix="1" applyFont="1" applyFill="1" applyAlignment="1">
      <alignment horizontal="center" vertical="center" wrapText="1"/>
    </xf>
    <xf numFmtId="0" fontId="13" fillId="26" borderId="0" xfId="0" applyFont="1" applyFill="1" applyAlignment="1">
      <alignment horizontal="right" vertical="center" wrapText="1"/>
    </xf>
    <xf numFmtId="169" fontId="13" fillId="26" borderId="0" xfId="0" applyNumberFormat="1" applyFont="1" applyFill="1" applyAlignment="1">
      <alignment vertical="center" wrapText="1"/>
    </xf>
    <xf numFmtId="0" fontId="13" fillId="26" borderId="0" xfId="0" applyFont="1" applyFill="1" applyAlignment="1">
      <alignment horizontal="right"/>
    </xf>
    <xf numFmtId="0" fontId="13" fillId="26" borderId="0" xfId="0" quotePrefix="1" applyFont="1" applyFill="1"/>
    <xf numFmtId="166" fontId="13" fillId="26" borderId="0" xfId="1582" applyNumberFormat="1" applyFont="1" applyFill="1" applyAlignment="1">
      <alignment horizontal="right"/>
    </xf>
    <xf numFmtId="165" fontId="14" fillId="26" borderId="0" xfId="1582" applyNumberFormat="1" applyFont="1" applyFill="1" applyBorder="1" applyAlignment="1">
      <alignment horizontal="center"/>
    </xf>
    <xf numFmtId="17" fontId="14" fillId="26" borderId="0" xfId="0" applyNumberFormat="1" applyFont="1" applyFill="1" applyAlignment="1">
      <alignment horizontal="center"/>
    </xf>
    <xf numFmtId="0" fontId="21" fillId="26" borderId="0" xfId="0" applyFont="1" applyFill="1"/>
    <xf numFmtId="165" fontId="13" fillId="26" borderId="0" xfId="1582"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5" fillId="26" borderId="0" xfId="0" applyFont="1" applyFill="1"/>
    <xf numFmtId="0" fontId="0" fillId="26" borderId="0" xfId="0" applyFill="1" applyProtection="1">
      <protection locked="0"/>
    </xf>
    <xf numFmtId="0" fontId="0" fillId="26" borderId="13" xfId="0" applyFill="1" applyBorder="1"/>
    <xf numFmtId="0" fontId="4" fillId="26" borderId="0" xfId="0" applyFont="1" applyFill="1"/>
    <xf numFmtId="0" fontId="4" fillId="26" borderId="0" xfId="0" applyFont="1" applyFill="1" applyAlignment="1">
      <alignment horizontal="right"/>
    </xf>
    <xf numFmtId="0" fontId="4" fillId="26" borderId="0" xfId="0" applyFont="1" applyFill="1" applyAlignment="1">
      <alignment horizontal="left"/>
    </xf>
    <xf numFmtId="0" fontId="5" fillId="26" borderId="0" xfId="0" applyFont="1" applyFill="1" applyAlignment="1">
      <alignment horizontal="right"/>
    </xf>
    <xf numFmtId="0" fontId="20" fillId="26" borderId="0" xfId="0" quotePrefix="1" applyFont="1" applyFill="1" applyAlignment="1">
      <alignment horizontal="left"/>
    </xf>
    <xf numFmtId="43" fontId="0" fillId="26" borderId="0" xfId="0" applyNumberFormat="1" applyFill="1"/>
    <xf numFmtId="0" fontId="8" fillId="26" borderId="0" xfId="0" quotePrefix="1" applyFont="1" applyFill="1"/>
    <xf numFmtId="164" fontId="5" fillId="26" borderId="0" xfId="1582" applyNumberFormat="1" applyFont="1" applyFill="1"/>
    <xf numFmtId="164" fontId="3" fillId="26" borderId="0" xfId="1582" applyNumberFormat="1" applyFont="1" applyFill="1"/>
    <xf numFmtId="0" fontId="11" fillId="26" borderId="0" xfId="0" applyFont="1" applyFill="1" applyAlignment="1">
      <alignment horizontal="right"/>
    </xf>
    <xf numFmtId="169" fontId="8" fillId="26" borderId="0" xfId="1700" applyNumberFormat="1" applyFont="1" applyFill="1"/>
    <xf numFmtId="17" fontId="0" fillId="26" borderId="0" xfId="0" quotePrefix="1" applyNumberFormat="1" applyFill="1"/>
    <xf numFmtId="169" fontId="0" fillId="26" borderId="0" xfId="0" applyNumberFormat="1" applyFill="1"/>
    <xf numFmtId="169" fontId="12" fillId="26" borderId="0" xfId="1700" applyNumberFormat="1" applyFont="1" applyFill="1"/>
    <xf numFmtId="0" fontId="0" fillId="26" borderId="0" xfId="0" quotePrefix="1" applyFill="1"/>
    <xf numFmtId="17" fontId="0" fillId="26" borderId="0" xfId="0" applyNumberFormat="1" applyFill="1"/>
    <xf numFmtId="164" fontId="0" fillId="26" borderId="0" xfId="1582" applyNumberFormat="1" applyFont="1" applyFill="1"/>
    <xf numFmtId="166" fontId="3" fillId="26" borderId="0" xfId="1582" applyNumberFormat="1" applyFont="1" applyFill="1"/>
    <xf numFmtId="0" fontId="6" fillId="26" borderId="0" xfId="0" applyFont="1" applyFill="1"/>
    <xf numFmtId="0" fontId="0" fillId="26" borderId="0" xfId="0" applyFill="1" applyAlignment="1">
      <alignment vertical="center" wrapText="1"/>
    </xf>
    <xf numFmtId="0" fontId="0" fillId="0" borderId="11" xfId="0" applyBorder="1" applyProtection="1">
      <protection locked="0"/>
    </xf>
    <xf numFmtId="0" fontId="5" fillId="25" borderId="15" xfId="0" applyFont="1"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0" fillId="24" borderId="22" xfId="0" applyFill="1" applyBorder="1"/>
    <xf numFmtId="0" fontId="0" fillId="24" borderId="0" xfId="0" applyFill="1"/>
    <xf numFmtId="0" fontId="0" fillId="24" borderId="21" xfId="0" applyFill="1" applyBorder="1"/>
    <xf numFmtId="0" fontId="0" fillId="24" borderId="23" xfId="0" applyFill="1" applyBorder="1"/>
    <xf numFmtId="0" fontId="0" fillId="24" borderId="20" xfId="0" applyFill="1" applyBorder="1"/>
    <xf numFmtId="0" fontId="0" fillId="24" borderId="24" xfId="0" applyFill="1" applyBorder="1"/>
    <xf numFmtId="0" fontId="0" fillId="24" borderId="10" xfId="0" applyFill="1" applyBorder="1" applyAlignment="1">
      <alignment horizontal="center"/>
    </xf>
    <xf numFmtId="0" fontId="0" fillId="24" borderId="24" xfId="0" applyFill="1" applyBorder="1" applyAlignment="1">
      <alignment horizontal="center"/>
    </xf>
    <xf numFmtId="0" fontId="0" fillId="24" borderId="18" xfId="0" applyFill="1" applyBorder="1" applyAlignment="1">
      <alignment horizontal="center"/>
    </xf>
    <xf numFmtId="0" fontId="0" fillId="24" borderId="15" xfId="0" applyFill="1" applyBorder="1" applyAlignment="1">
      <alignment horizontal="center"/>
    </xf>
    <xf numFmtId="0" fontId="0" fillId="24" borderId="22" xfId="0" applyFill="1" applyBorder="1" applyAlignment="1">
      <alignment horizontal="center"/>
    </xf>
    <xf numFmtId="0" fontId="0" fillId="24" borderId="19" xfId="0" applyFill="1" applyBorder="1" applyAlignment="1">
      <alignment horizontal="center"/>
    </xf>
    <xf numFmtId="0" fontId="0" fillId="24" borderId="17" xfId="0" applyFill="1" applyBorder="1" applyAlignment="1">
      <alignment horizontal="center"/>
    </xf>
    <xf numFmtId="0" fontId="0" fillId="24" borderId="16" xfId="0" applyFill="1" applyBorder="1" applyAlignment="1">
      <alignment horizontal="center"/>
    </xf>
    <xf numFmtId="0" fontId="0" fillId="24" borderId="0" xfId="0" applyFill="1" applyAlignment="1">
      <alignment horizontal="center"/>
    </xf>
    <xf numFmtId="0" fontId="0" fillId="24" borderId="23" xfId="0" applyFill="1" applyBorder="1" applyAlignment="1">
      <alignment horizontal="center"/>
    </xf>
    <xf numFmtId="0" fontId="8" fillId="24" borderId="15" xfId="0" applyFont="1" applyFill="1" applyBorder="1" applyAlignment="1">
      <alignment horizontal="left"/>
    </xf>
    <xf numFmtId="0" fontId="8" fillId="24" borderId="16" xfId="0" applyFont="1" applyFill="1" applyBorder="1" applyAlignment="1">
      <alignment horizontal="left"/>
    </xf>
    <xf numFmtId="0" fontId="8" fillId="24" borderId="17" xfId="0" applyFont="1" applyFill="1" applyBorder="1" applyAlignment="1">
      <alignment horizontal="left"/>
    </xf>
    <xf numFmtId="0" fontId="8" fillId="24" borderId="15" xfId="0" applyFont="1" applyFill="1" applyBorder="1" applyAlignment="1">
      <alignment horizontal="center"/>
    </xf>
    <xf numFmtId="0" fontId="8" fillId="24" borderId="10" xfId="0" applyFont="1" applyFill="1" applyBorder="1" applyAlignment="1">
      <alignment horizontal="center"/>
    </xf>
    <xf numFmtId="0" fontId="8" fillId="24" borderId="22" xfId="0" applyFont="1" applyFill="1" applyBorder="1" applyAlignment="1">
      <alignment horizontal="left"/>
    </xf>
    <xf numFmtId="0" fontId="8" fillId="24" borderId="0" xfId="0" applyFont="1" applyFill="1" applyAlignment="1">
      <alignment horizontal="left"/>
    </xf>
    <xf numFmtId="0" fontId="8" fillId="24" borderId="21" xfId="0" applyFont="1" applyFill="1" applyBorder="1" applyAlignment="1">
      <alignment horizontal="left"/>
    </xf>
    <xf numFmtId="0" fontId="8" fillId="24" borderId="22" xfId="0" applyFont="1" applyFill="1" applyBorder="1" applyAlignment="1">
      <alignment horizontal="center"/>
    </xf>
    <xf numFmtId="0" fontId="8" fillId="24" borderId="24" xfId="0" applyFont="1" applyFill="1" applyBorder="1" applyAlignment="1">
      <alignment horizontal="center"/>
    </xf>
    <xf numFmtId="0" fontId="8" fillId="24" borderId="19" xfId="0" applyFont="1" applyFill="1" applyBorder="1" applyAlignment="1">
      <alignment horizontal="left"/>
    </xf>
    <xf numFmtId="0" fontId="8" fillId="24" borderId="23" xfId="0" applyFont="1" applyFill="1" applyBorder="1" applyAlignment="1">
      <alignment horizontal="left"/>
    </xf>
    <xf numFmtId="0" fontId="8" fillId="24" borderId="20" xfId="0" applyFont="1" applyFill="1" applyBorder="1" applyAlignment="1">
      <alignment horizontal="left"/>
    </xf>
    <xf numFmtId="0" fontId="8" fillId="24" borderId="19" xfId="0" applyFont="1" applyFill="1" applyBorder="1" applyAlignment="1">
      <alignment horizontal="center"/>
    </xf>
    <xf numFmtId="0" fontId="8" fillId="24" borderId="18" xfId="0" applyFont="1" applyFill="1" applyBorder="1" applyAlignment="1">
      <alignment horizontal="center"/>
    </xf>
    <xf numFmtId="0" fontId="0" fillId="24" borderId="24" xfId="0" quotePrefix="1" applyFill="1" applyBorder="1" applyAlignment="1">
      <alignment horizontal="center"/>
    </xf>
    <xf numFmtId="0" fontId="0" fillId="24" borderId="22" xfId="0" quotePrefix="1" applyFill="1" applyBorder="1" applyAlignment="1">
      <alignment horizontal="center"/>
    </xf>
    <xf numFmtId="0" fontId="5" fillId="26" borderId="0" xfId="0" quotePrefix="1" applyFont="1" applyFill="1" applyAlignment="1">
      <alignment horizontal="left"/>
    </xf>
    <xf numFmtId="0" fontId="0" fillId="26" borderId="0" xfId="0" applyFill="1" applyAlignment="1">
      <alignment horizontal="right"/>
    </xf>
    <xf numFmtId="165" fontId="0" fillId="0" borderId="11" xfId="1582" applyNumberFormat="1" applyFont="1" applyFill="1" applyBorder="1" applyProtection="1">
      <protection locked="0"/>
    </xf>
    <xf numFmtId="0" fontId="0" fillId="0" borderId="11" xfId="0" applyBorder="1" applyAlignment="1" applyProtection="1">
      <alignment horizontal="right"/>
      <protection locked="0"/>
    </xf>
    <xf numFmtId="0" fontId="0" fillId="24" borderId="22" xfId="0" quotePrefix="1" applyFill="1" applyBorder="1" applyAlignment="1">
      <alignment horizontal="left"/>
    </xf>
    <xf numFmtId="0" fontId="0" fillId="24" borderId="19" xfId="0" quotePrefix="1" applyFill="1" applyBorder="1" applyAlignment="1">
      <alignment horizontal="left"/>
    </xf>
    <xf numFmtId="0" fontId="5" fillId="25" borderId="10" xfId="0" quotePrefix="1" applyFont="1" applyFill="1" applyBorder="1" applyAlignment="1">
      <alignment horizontal="center" vertical="center"/>
    </xf>
    <xf numFmtId="0" fontId="5" fillId="25" borderId="22" xfId="0" applyFont="1" applyFill="1" applyBorder="1" applyAlignment="1">
      <alignment horizontal="left"/>
    </xf>
    <xf numFmtId="0" fontId="5" fillId="25" borderId="11" xfId="0" applyFont="1" applyFill="1" applyBorder="1" applyAlignment="1">
      <alignment horizontal="left"/>
    </xf>
    <xf numFmtId="0" fontId="8" fillId="24" borderId="24" xfId="0" applyFont="1" applyFill="1" applyBorder="1" applyAlignment="1">
      <alignment horizontal="left"/>
    </xf>
    <xf numFmtId="0" fontId="8" fillId="24" borderId="18" xfId="0" applyFont="1" applyFill="1" applyBorder="1" applyAlignment="1">
      <alignment horizontal="left"/>
    </xf>
    <xf numFmtId="0" fontId="0" fillId="24" borderId="21" xfId="0" applyFill="1" applyBorder="1" applyAlignment="1">
      <alignment horizontal="center"/>
    </xf>
    <xf numFmtId="0" fontId="0" fillId="24" borderId="22" xfId="0" applyFill="1" applyBorder="1" applyAlignment="1">
      <alignment horizontal="left"/>
    </xf>
    <xf numFmtId="0" fontId="7" fillId="26" borderId="0" xfId="0" applyFont="1" applyFill="1"/>
    <xf numFmtId="0" fontId="4" fillId="26" borderId="0" xfId="0" quotePrefix="1" applyFont="1" applyFill="1" applyAlignment="1">
      <alignment horizontal="right"/>
    </xf>
    <xf numFmtId="0" fontId="4" fillId="26" borderId="0" xfId="0" quotePrefix="1" applyFont="1" applyFill="1"/>
    <xf numFmtId="0" fontId="0" fillId="26" borderId="12" xfId="0" applyFill="1" applyBorder="1"/>
    <xf numFmtId="0" fontId="4" fillId="26" borderId="0" xfId="0" quotePrefix="1" applyFont="1" applyFill="1" applyAlignment="1">
      <alignment horizontal="left"/>
    </xf>
    <xf numFmtId="169" fontId="0" fillId="26" borderId="0" xfId="1700" applyNumberFormat="1" applyFont="1" applyFill="1" applyBorder="1"/>
    <xf numFmtId="164" fontId="3" fillId="26" borderId="0" xfId="1582" applyNumberFormat="1" applyFont="1" applyFill="1" applyBorder="1"/>
    <xf numFmtId="0" fontId="7" fillId="26" borderId="0" xfId="0" applyFont="1" applyFill="1" applyAlignment="1">
      <alignment horizontal="left" vertical="center" wrapText="1"/>
    </xf>
    <xf numFmtId="17" fontId="4" fillId="26" borderId="0" xfId="0" quotePrefix="1" applyNumberFormat="1" applyFont="1" applyFill="1"/>
    <xf numFmtId="164" fontId="3" fillId="24" borderId="11" xfId="1582" applyNumberFormat="1" applyFont="1" applyFill="1" applyBorder="1"/>
    <xf numFmtId="164" fontId="3" fillId="24" borderId="10" xfId="1582" applyNumberFormat="1" applyFont="1" applyFill="1" applyBorder="1"/>
    <xf numFmtId="0" fontId="0" fillId="24" borderId="20" xfId="0" applyFill="1" applyBorder="1" applyAlignment="1">
      <alignment horizontal="center"/>
    </xf>
    <xf numFmtId="0" fontId="5" fillId="25" borderId="22" xfId="0" applyFont="1" applyFill="1" applyBorder="1" applyAlignment="1">
      <alignment horizontal="center" vertical="center"/>
    </xf>
    <xf numFmtId="0" fontId="5" fillId="25" borderId="24" xfId="0" applyFont="1" applyFill="1" applyBorder="1" applyAlignment="1">
      <alignment horizontal="center" vertical="center"/>
    </xf>
    <xf numFmtId="169" fontId="0" fillId="26" borderId="0" xfId="1700" applyNumberFormat="1" applyFont="1" applyFill="1"/>
    <xf numFmtId="17" fontId="8" fillId="26" borderId="0" xfId="0" applyNumberFormat="1" applyFont="1" applyFill="1"/>
    <xf numFmtId="169" fontId="23" fillId="26" borderId="0" xfId="1700" applyNumberFormat="1" applyFont="1" applyFill="1"/>
    <xf numFmtId="17" fontId="0" fillId="26" borderId="0" xfId="0" applyNumberFormat="1" applyFill="1" applyAlignment="1">
      <alignment horizontal="left"/>
    </xf>
    <xf numFmtId="169" fontId="8" fillId="26" borderId="0" xfId="1700" applyNumberFormat="1" applyFont="1" applyFill="1" applyBorder="1"/>
    <xf numFmtId="0" fontId="5" fillId="25" borderId="17" xfId="0" applyFont="1" applyFill="1" applyBorder="1" applyAlignment="1">
      <alignment vertical="center"/>
    </xf>
    <xf numFmtId="0" fontId="5" fillId="25" borderId="20" xfId="0" applyFont="1" applyFill="1" applyBorder="1" applyAlignment="1">
      <alignment horizontal="center"/>
    </xf>
    <xf numFmtId="0" fontId="5" fillId="25" borderId="18" xfId="0" quotePrefix="1" applyFont="1" applyFill="1" applyBorder="1" applyAlignment="1">
      <alignment horizontal="center"/>
    </xf>
    <xf numFmtId="165" fontId="0" fillId="24" borderId="10" xfId="1582" applyNumberFormat="1" applyFont="1" applyFill="1" applyBorder="1" applyAlignment="1">
      <alignment horizontal="center"/>
    </xf>
    <xf numFmtId="165" fontId="0" fillId="24" borderId="24" xfId="1582" applyNumberFormat="1" applyFont="1" applyFill="1" applyBorder="1" applyAlignment="1">
      <alignment horizontal="center"/>
    </xf>
    <xf numFmtId="0" fontId="0" fillId="24" borderId="0" xfId="0" applyFill="1" applyAlignment="1">
      <alignment horizontal="left"/>
    </xf>
    <xf numFmtId="0" fontId="0" fillId="24" borderId="19" xfId="0" applyFill="1" applyBorder="1" applyAlignment="1">
      <alignment horizontal="left"/>
    </xf>
    <xf numFmtId="165" fontId="0" fillId="24" borderId="18" xfId="1582" applyNumberFormat="1" applyFont="1" applyFill="1" applyBorder="1" applyAlignment="1">
      <alignment horizontal="center"/>
    </xf>
    <xf numFmtId="0" fontId="5" fillId="24" borderId="15" xfId="0" applyFont="1" applyFill="1" applyBorder="1" applyAlignment="1">
      <alignment vertical="center"/>
    </xf>
    <xf numFmtId="0" fontId="5" fillId="24" borderId="16" xfId="0" applyFont="1" applyFill="1" applyBorder="1" applyAlignment="1">
      <alignment vertical="center"/>
    </xf>
    <xf numFmtId="0" fontId="5" fillId="24" borderId="0" xfId="0" applyFont="1" applyFill="1" applyAlignment="1">
      <alignment vertical="center"/>
    </xf>
    <xf numFmtId="0" fontId="5" fillId="24" borderId="21" xfId="0" applyFont="1" applyFill="1" applyBorder="1" applyAlignment="1">
      <alignment vertical="center"/>
    </xf>
    <xf numFmtId="170" fontId="5" fillId="26" borderId="0" xfId="1582" applyNumberFormat="1" applyFont="1" applyFill="1"/>
    <xf numFmtId="169" fontId="5" fillId="26" borderId="0" xfId="1700" applyNumberFormat="1" applyFont="1" applyFill="1"/>
    <xf numFmtId="164" fontId="23" fillId="26" borderId="0" xfId="1582" applyNumberFormat="1" applyFont="1" applyFill="1"/>
    <xf numFmtId="166" fontId="18" fillId="26" borderId="0" xfId="1582" applyNumberFormat="1" applyFont="1" applyFill="1"/>
    <xf numFmtId="43" fontId="24" fillId="26" borderId="0" xfId="0" applyNumberFormat="1" applyFont="1" applyFill="1"/>
    <xf numFmtId="17" fontId="5" fillId="25" borderId="17" xfId="0" applyNumberFormat="1" applyFont="1" applyFill="1" applyBorder="1" applyAlignment="1">
      <alignment vertical="center"/>
    </xf>
    <xf numFmtId="0" fontId="5" fillId="25" borderId="11" xfId="0" applyFont="1" applyFill="1" applyBorder="1" applyAlignment="1">
      <alignment vertical="center"/>
    </xf>
    <xf numFmtId="0" fontId="5" fillId="25" borderId="12" xfId="0" applyFont="1" applyFill="1" applyBorder="1" applyAlignment="1">
      <alignment horizontal="left"/>
    </xf>
    <xf numFmtId="0" fontId="0" fillId="26" borderId="0" xfId="0" applyFill="1" applyAlignment="1">
      <alignment vertical="top"/>
    </xf>
    <xf numFmtId="0" fontId="0" fillId="0" borderId="11" xfId="0" quotePrefix="1" applyBorder="1" applyAlignment="1">
      <alignment horizontal="right" vertical="top"/>
    </xf>
    <xf numFmtId="14" fontId="0" fillId="0" borderId="11" xfId="0" applyNumberFormat="1" applyBorder="1" applyAlignment="1">
      <alignment vertical="top"/>
    </xf>
    <xf numFmtId="0" fontId="0" fillId="0" borderId="11" xfId="0" applyBorder="1" applyAlignment="1">
      <alignment vertical="top"/>
    </xf>
    <xf numFmtId="0" fontId="25" fillId="26" borderId="0" xfId="0" applyFont="1" applyFill="1"/>
    <xf numFmtId="0" fontId="16" fillId="26" borderId="0" xfId="0" applyFont="1" applyFill="1"/>
    <xf numFmtId="0" fontId="13" fillId="26" borderId="0" xfId="0" applyFont="1" applyFill="1" applyAlignment="1">
      <alignment vertical="top"/>
    </xf>
    <xf numFmtId="0" fontId="7" fillId="26" borderId="0" xfId="0" quotePrefix="1" applyFont="1" applyFill="1" applyAlignment="1">
      <alignment horizontal="left"/>
    </xf>
    <xf numFmtId="0" fontId="0" fillId="0" borderId="11" xfId="0" applyBorder="1" applyAlignment="1">
      <alignment horizontal="right" vertical="top"/>
    </xf>
    <xf numFmtId="0" fontId="1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7" fillId="26" borderId="0" xfId="0" quotePrefix="1" applyFont="1" applyFill="1" applyAlignment="1">
      <alignment horizontal="left" vertical="center" wrapText="1"/>
    </xf>
    <xf numFmtId="0" fontId="8" fillId="26" borderId="0" xfId="0" quotePrefix="1" applyFont="1" applyFill="1" applyAlignment="1">
      <alignment horizontal="left" vertical="center" wrapText="1"/>
    </xf>
    <xf numFmtId="0" fontId="8" fillId="26" borderId="0" xfId="0" applyFont="1" applyFill="1"/>
    <xf numFmtId="0" fontId="26" fillId="26" borderId="0" xfId="0" applyFont="1" applyFill="1" applyAlignment="1">
      <alignment horizontal="right"/>
    </xf>
    <xf numFmtId="0" fontId="46" fillId="24" borderId="25" xfId="2851" applyFont="1" applyFill="1" applyBorder="1" applyAlignment="1">
      <alignment horizontal="left"/>
    </xf>
    <xf numFmtId="0" fontId="46" fillId="24" borderId="26" xfId="2851" applyFont="1" applyFill="1" applyBorder="1" applyAlignment="1">
      <alignment horizontal="left"/>
    </xf>
    <xf numFmtId="0" fontId="46" fillId="24" borderId="27" xfId="2851" applyFont="1" applyFill="1" applyBorder="1" applyAlignment="1">
      <alignment horizontal="left"/>
    </xf>
    <xf numFmtId="9" fontId="0" fillId="26" borderId="0" xfId="2971" applyFont="1" applyFill="1" applyAlignment="1">
      <alignment horizontal="left"/>
    </xf>
    <xf numFmtId="0" fontId="3" fillId="26" borderId="0" xfId="0" applyFont="1" applyFill="1"/>
    <xf numFmtId="0" fontId="8" fillId="26" borderId="0" xfId="0" quotePrefix="1" applyFont="1" applyFill="1" applyAlignment="1">
      <alignment vertical="center" wrapText="1"/>
    </xf>
    <xf numFmtId="165" fontId="0" fillId="26" borderId="0" xfId="1582" applyNumberFormat="1" applyFont="1" applyFill="1"/>
    <xf numFmtId="165" fontId="8" fillId="26" borderId="0" xfId="1582" quotePrefix="1" applyNumberFormat="1" applyFont="1" applyFill="1" applyAlignment="1">
      <alignment horizontal="left" vertical="center" wrapText="1"/>
    </xf>
    <xf numFmtId="17" fontId="8" fillId="26" borderId="0" xfId="0" quotePrefix="1" applyNumberFormat="1" applyFont="1" applyFill="1" applyAlignment="1">
      <alignment horizontal="left" vertical="center" wrapText="1"/>
    </xf>
    <xf numFmtId="17" fontId="5" fillId="25" borderId="14" xfId="0" applyNumberFormat="1" applyFont="1" applyFill="1" applyBorder="1" applyAlignment="1">
      <alignment horizontal="center" vertical="center" wrapText="1"/>
    </xf>
    <xf numFmtId="165" fontId="0" fillId="24" borderId="10" xfId="1582" applyNumberFormat="1" applyFont="1" applyFill="1" applyBorder="1"/>
    <xf numFmtId="165" fontId="0" fillId="24" borderId="24" xfId="1582" applyNumberFormat="1" applyFont="1" applyFill="1" applyBorder="1"/>
    <xf numFmtId="0" fontId="8" fillId="26" borderId="0" xfId="0" applyFont="1" applyFill="1" applyAlignment="1">
      <alignment horizontal="right" vertical="center" wrapText="1"/>
    </xf>
    <xf numFmtId="0" fontId="5" fillId="26" borderId="0" xfId="0" applyFont="1" applyFill="1" applyAlignment="1">
      <alignment vertical="center"/>
    </xf>
    <xf numFmtId="165" fontId="8" fillId="26" borderId="0" xfId="0" applyNumberFormat="1" applyFont="1" applyFill="1"/>
    <xf numFmtId="165" fontId="23" fillId="26" borderId="0" xfId="1582" applyNumberFormat="1" applyFont="1" applyFill="1"/>
    <xf numFmtId="0" fontId="8" fillId="24" borderId="12" xfId="0" applyFont="1" applyFill="1" applyBorder="1" applyAlignment="1">
      <alignment vertical="top"/>
    </xf>
    <xf numFmtId="9" fontId="8" fillId="24" borderId="11" xfId="0" applyNumberFormat="1" applyFont="1" applyFill="1" applyBorder="1" applyAlignment="1">
      <alignment vertical="top" wrapText="1"/>
    </xf>
    <xf numFmtId="0" fontId="15" fillId="25" borderId="11" xfId="0" applyFont="1" applyFill="1" applyBorder="1" applyAlignment="1">
      <alignment horizontal="center" vertical="center" wrapText="1"/>
    </xf>
    <xf numFmtId="0" fontId="17" fillId="24" borderId="10" xfId="0" applyFont="1" applyFill="1" applyBorder="1" applyAlignment="1">
      <alignment vertical="center"/>
    </xf>
    <xf numFmtId="165" fontId="13" fillId="24" borderId="24" xfId="1582" applyNumberFormat="1" applyFont="1" applyFill="1" applyBorder="1" applyAlignment="1">
      <alignment horizontal="right"/>
    </xf>
    <xf numFmtId="165" fontId="13" fillId="24" borderId="18" xfId="1582" applyNumberFormat="1" applyFont="1" applyFill="1" applyBorder="1" applyAlignment="1">
      <alignment horizontal="right" vertical="center"/>
    </xf>
    <xf numFmtId="165" fontId="13" fillId="24" borderId="10" xfId="1582" applyNumberFormat="1" applyFont="1" applyFill="1" applyBorder="1" applyAlignment="1">
      <alignment horizontal="right" vertical="center" wrapText="1"/>
    </xf>
    <xf numFmtId="165" fontId="13" fillId="24" borderId="11" xfId="1582" applyNumberFormat="1" applyFont="1" applyFill="1" applyBorder="1" applyAlignment="1">
      <alignment horizontal="right"/>
    </xf>
    <xf numFmtId="165" fontId="13" fillId="24" borderId="10" xfId="1582" applyNumberFormat="1" applyFont="1" applyFill="1" applyBorder="1" applyAlignment="1">
      <alignment horizontal="right"/>
    </xf>
    <xf numFmtId="165" fontId="13" fillId="24" borderId="10" xfId="1582" applyNumberFormat="1" applyFont="1" applyFill="1" applyBorder="1"/>
    <xf numFmtId="165" fontId="13" fillId="24" borderId="18" xfId="1582" applyNumberFormat="1" applyFont="1" applyFill="1" applyBorder="1" applyAlignment="1">
      <alignment horizontal="right"/>
    </xf>
    <xf numFmtId="169" fontId="15" fillId="24" borderId="11" xfId="1700" applyNumberFormat="1" applyFont="1" applyFill="1" applyBorder="1" applyAlignment="1">
      <alignment vertical="center"/>
    </xf>
    <xf numFmtId="165" fontId="13" fillId="24" borderId="24" xfId="1582" applyNumberFormat="1" applyFont="1" applyFill="1" applyBorder="1" applyAlignment="1" applyProtection="1">
      <alignment horizontal="right"/>
    </xf>
    <xf numFmtId="165" fontId="13" fillId="24" borderId="18" xfId="1582" applyNumberFormat="1" applyFont="1" applyFill="1" applyBorder="1" applyAlignment="1" applyProtection="1">
      <alignment horizontal="right" vertical="center"/>
    </xf>
    <xf numFmtId="165" fontId="13" fillId="24" borderId="10" xfId="1582" applyNumberFormat="1" applyFont="1" applyFill="1" applyBorder="1" applyAlignment="1" applyProtection="1">
      <alignment horizontal="right" vertical="center" wrapText="1"/>
    </xf>
    <xf numFmtId="165" fontId="13" fillId="24" borderId="11" xfId="1582" applyNumberFormat="1" applyFont="1" applyFill="1" applyBorder="1" applyAlignment="1" applyProtection="1">
      <alignment horizontal="right"/>
    </xf>
    <xf numFmtId="0" fontId="47" fillId="26" borderId="0" xfId="0" applyFont="1" applyFill="1"/>
    <xf numFmtId="43" fontId="8" fillId="24" borderId="12" xfId="1582" applyFont="1" applyFill="1" applyBorder="1"/>
    <xf numFmtId="0" fontId="48" fillId="26" borderId="0" xfId="0" applyFont="1" applyFill="1"/>
    <xf numFmtId="9" fontId="0" fillId="24" borderId="12" xfId="2971" quotePrefix="1" applyFont="1" applyFill="1" applyBorder="1" applyAlignment="1">
      <alignment horizontal="right"/>
    </xf>
    <xf numFmtId="165" fontId="8" fillId="24" borderId="11" xfId="1582" quotePrefix="1" applyNumberFormat="1" applyFont="1" applyFill="1" applyBorder="1" applyAlignment="1">
      <alignment horizontal="left" vertical="center" wrapText="1"/>
    </xf>
    <xf numFmtId="17" fontId="8" fillId="25" borderId="11" xfId="0" quotePrefix="1" applyNumberFormat="1" applyFont="1" applyFill="1" applyBorder="1" applyAlignment="1">
      <alignment horizontal="center" vertical="center" wrapText="1"/>
    </xf>
    <xf numFmtId="17" fontId="5" fillId="25" borderId="11" xfId="0" applyNumberFormat="1" applyFont="1" applyFill="1" applyBorder="1" applyAlignment="1">
      <alignment horizontal="center" vertical="center" wrapText="1"/>
    </xf>
    <xf numFmtId="165" fontId="5" fillId="24" borderId="11" xfId="0" applyNumberFormat="1" applyFont="1" applyFill="1" applyBorder="1"/>
    <xf numFmtId="171" fontId="8" fillId="26" borderId="0" xfId="0" applyNumberFormat="1" applyFont="1" applyFill="1" applyProtection="1">
      <protection locked="0"/>
    </xf>
    <xf numFmtId="9" fontId="0" fillId="24" borderId="15" xfId="2971" quotePrefix="1" applyFont="1" applyFill="1" applyBorder="1"/>
    <xf numFmtId="3" fontId="46" fillId="24" borderId="28" xfId="1582" applyNumberFormat="1" applyFont="1" applyFill="1" applyBorder="1" applyAlignment="1" applyProtection="1">
      <alignment horizontal="right"/>
      <protection locked="0"/>
    </xf>
    <xf numFmtId="3" fontId="46" fillId="24" borderId="29" xfId="1582" applyNumberFormat="1" applyFont="1" applyFill="1" applyBorder="1" applyAlignment="1" applyProtection="1">
      <alignment horizontal="right"/>
      <protection locked="0"/>
    </xf>
    <xf numFmtId="3" fontId="46" fillId="24" borderId="30" xfId="1582" applyNumberFormat="1" applyFont="1" applyFill="1" applyBorder="1" applyAlignment="1" applyProtection="1">
      <alignment horizontal="right"/>
      <protection locked="0"/>
    </xf>
    <xf numFmtId="0" fontId="47" fillId="26" borderId="0" xfId="0" applyFont="1" applyFill="1" applyAlignment="1">
      <alignment horizontal="left" vertical="center"/>
    </xf>
    <xf numFmtId="0" fontId="8" fillId="25" borderId="31" xfId="0" applyFont="1" applyFill="1" applyBorder="1"/>
    <xf numFmtId="0" fontId="45" fillId="25" borderId="31" xfId="2851" applyFont="1" applyFill="1" applyBorder="1" applyAlignment="1">
      <alignment horizontal="center" vertical="center"/>
    </xf>
    <xf numFmtId="0" fontId="45" fillId="25" borderId="32" xfId="2851" applyFont="1" applyFill="1" applyBorder="1" applyAlignment="1">
      <alignment horizontal="center" vertical="center"/>
    </xf>
    <xf numFmtId="0" fontId="8" fillId="24" borderId="33" xfId="0" applyFont="1" applyFill="1" applyBorder="1"/>
    <xf numFmtId="0" fontId="8" fillId="24" borderId="34" xfId="0" applyFont="1" applyFill="1" applyBorder="1"/>
    <xf numFmtId="0" fontId="8" fillId="24" borderId="35" xfId="0" applyFont="1" applyFill="1" applyBorder="1"/>
    <xf numFmtId="0" fontId="7" fillId="26" borderId="0" xfId="0" quotePrefix="1" applyFont="1" applyFill="1" applyAlignment="1">
      <alignment horizontal="left" vertical="center"/>
    </xf>
    <xf numFmtId="0" fontId="7" fillId="26" borderId="0" xfId="0" applyFont="1" applyFill="1" applyAlignment="1">
      <alignment horizontal="left" vertical="center"/>
    </xf>
    <xf numFmtId="165" fontId="8" fillId="26" borderId="0" xfId="1582" applyNumberFormat="1" applyFont="1" applyFill="1"/>
    <xf numFmtId="0" fontId="13" fillId="24" borderId="17" xfId="0" quotePrefix="1" applyFont="1" applyFill="1" applyBorder="1" applyAlignment="1">
      <alignment horizontal="center"/>
    </xf>
    <xf numFmtId="0" fontId="13" fillId="24" borderId="21" xfId="0" quotePrefix="1" applyFont="1" applyFill="1" applyBorder="1" applyAlignment="1">
      <alignment horizontal="center"/>
    </xf>
    <xf numFmtId="0" fontId="13" fillId="24" borderId="20" xfId="0" applyFont="1" applyFill="1" applyBorder="1" applyAlignment="1">
      <alignment horizontal="center"/>
    </xf>
    <xf numFmtId="0" fontId="5" fillId="25" borderId="13" xfId="0" applyFont="1" applyFill="1" applyBorder="1" applyAlignment="1">
      <alignment horizontal="center" vertical="center" wrapText="1"/>
    </xf>
    <xf numFmtId="0" fontId="5" fillId="25" borderId="11" xfId="0" applyFont="1" applyFill="1" applyBorder="1" applyAlignment="1">
      <alignment horizontal="center" vertical="center" wrapText="1"/>
    </xf>
    <xf numFmtId="43" fontId="0" fillId="24" borderId="11" xfId="1582" applyFont="1" applyFill="1" applyBorder="1"/>
    <xf numFmtId="43" fontId="0" fillId="24" borderId="14" xfId="1582" applyFont="1" applyFill="1" applyBorder="1"/>
    <xf numFmtId="0" fontId="8" fillId="25" borderId="12" xfId="0" applyFont="1" applyFill="1" applyBorder="1" applyAlignment="1">
      <alignment horizontal="left"/>
    </xf>
    <xf numFmtId="0" fontId="8" fillId="25" borderId="13" xfId="0" applyFont="1" applyFill="1" applyBorder="1" applyAlignment="1">
      <alignment horizontal="left"/>
    </xf>
    <xf numFmtId="0" fontId="8" fillId="25" borderId="14" xfId="0" applyFont="1" applyFill="1" applyBorder="1" applyAlignment="1">
      <alignment horizontal="left"/>
    </xf>
    <xf numFmtId="0" fontId="8" fillId="25" borderId="11" xfId="0" applyFont="1" applyFill="1" applyBorder="1" applyAlignment="1">
      <alignment horizontal="left"/>
    </xf>
    <xf numFmtId="0" fontId="8" fillId="24" borderId="15" xfId="0" applyFont="1" applyFill="1" applyBorder="1" applyAlignment="1">
      <alignment vertical="center"/>
    </xf>
    <xf numFmtId="0" fontId="8" fillId="24" borderId="16" xfId="0" applyFont="1" applyFill="1" applyBorder="1" applyAlignment="1">
      <alignment vertical="center"/>
    </xf>
    <xf numFmtId="0" fontId="8" fillId="24" borderId="17" xfId="0" applyFont="1" applyFill="1" applyBorder="1" applyAlignment="1">
      <alignment vertical="center"/>
    </xf>
    <xf numFmtId="0" fontId="8" fillId="24" borderId="12" xfId="0" applyFont="1" applyFill="1" applyBorder="1" applyAlignment="1">
      <alignment vertical="center"/>
    </xf>
    <xf numFmtId="0" fontId="8" fillId="24" borderId="13" xfId="0" applyFont="1" applyFill="1" applyBorder="1" applyAlignment="1">
      <alignment vertical="center"/>
    </xf>
    <xf numFmtId="0" fontId="8" fillId="24" borderId="14" xfId="0" applyFont="1" applyFill="1" applyBorder="1" applyAlignment="1">
      <alignment vertical="center"/>
    </xf>
    <xf numFmtId="17" fontId="8" fillId="26" borderId="0" xfId="0" applyNumberFormat="1" applyFont="1" applyFill="1" applyAlignment="1">
      <alignment vertical="center"/>
    </xf>
    <xf numFmtId="0" fontId="8" fillId="24" borderId="19" xfId="0" applyFont="1" applyFill="1" applyBorder="1" applyAlignment="1">
      <alignment vertical="center"/>
    </xf>
    <xf numFmtId="0" fontId="8" fillId="24" borderId="23" xfId="0" applyFont="1" applyFill="1" applyBorder="1" applyAlignment="1">
      <alignment vertical="center"/>
    </xf>
    <xf numFmtId="0" fontId="8" fillId="24" borderId="20" xfId="0" applyFont="1" applyFill="1" applyBorder="1" applyAlignment="1">
      <alignment vertical="center"/>
    </xf>
    <xf numFmtId="0" fontId="8" fillId="26" borderId="0" xfId="0" applyFont="1" applyFill="1" applyAlignment="1">
      <alignment vertical="center" wrapText="1"/>
    </xf>
    <xf numFmtId="0" fontId="8" fillId="26" borderId="0" xfId="0" applyFont="1" applyFill="1" applyAlignment="1">
      <alignment horizontal="center"/>
    </xf>
    <xf numFmtId="0" fontId="8" fillId="24" borderId="17" xfId="0" applyFont="1" applyFill="1" applyBorder="1" applyAlignment="1">
      <alignment horizontal="center"/>
    </xf>
    <xf numFmtId="0" fontId="8" fillId="26" borderId="0" xfId="0" quotePrefix="1" applyFont="1" applyFill="1" applyAlignment="1">
      <alignment horizontal="left"/>
    </xf>
    <xf numFmtId="0" fontId="5" fillId="26" borderId="0" xfId="0" applyFont="1" applyFill="1" applyAlignment="1">
      <alignment vertical="center" wrapText="1"/>
    </xf>
    <xf numFmtId="0" fontId="8" fillId="26" borderId="0" xfId="0" applyFont="1" applyFill="1" applyAlignment="1">
      <alignment horizontal="center" vertical="center" wrapText="1"/>
    </xf>
    <xf numFmtId="0" fontId="8" fillId="26" borderId="0" xfId="0" quotePrefix="1" applyFont="1" applyFill="1" applyAlignment="1">
      <alignment horizontal="center" vertical="center" wrapText="1"/>
    </xf>
    <xf numFmtId="0" fontId="5" fillId="25" borderId="11" xfId="0" quotePrefix="1" applyFont="1" applyFill="1" applyBorder="1" applyAlignment="1">
      <alignment horizontal="center" vertical="center" wrapText="1"/>
    </xf>
    <xf numFmtId="0" fontId="8" fillId="24" borderId="10" xfId="0" applyFont="1" applyFill="1" applyBorder="1" applyAlignment="1">
      <alignment vertical="center"/>
    </xf>
    <xf numFmtId="0" fontId="8" fillId="24" borderId="17" xfId="0" applyFont="1" applyFill="1" applyBorder="1" applyAlignment="1">
      <alignment horizontal="center" vertical="center" wrapText="1"/>
    </xf>
    <xf numFmtId="0" fontId="8" fillId="24" borderId="10" xfId="0" quotePrefix="1" applyFont="1" applyFill="1" applyBorder="1" applyAlignment="1">
      <alignment horizontal="center" vertical="center" wrapText="1"/>
    </xf>
    <xf numFmtId="0" fontId="8" fillId="24" borderId="22" xfId="0" applyFont="1" applyFill="1" applyBorder="1" applyAlignment="1">
      <alignment vertical="center"/>
    </xf>
    <xf numFmtId="0" fontId="8" fillId="24" borderId="0" xfId="0" applyFont="1" applyFill="1" applyAlignment="1">
      <alignment vertical="center"/>
    </xf>
    <xf numFmtId="0" fontId="8" fillId="24" borderId="0" xfId="0" applyFont="1" applyFill="1" applyAlignment="1">
      <alignment vertical="center" wrapText="1"/>
    </xf>
    <xf numFmtId="0" fontId="8" fillId="24" borderId="21" xfId="0" applyFont="1" applyFill="1" applyBorder="1" applyAlignment="1">
      <alignment vertical="center"/>
    </xf>
    <xf numFmtId="165" fontId="8" fillId="24" borderId="24" xfId="1582" applyNumberFormat="1" applyFont="1" applyFill="1" applyBorder="1" applyAlignment="1" applyProtection="1">
      <alignment horizontal="right"/>
    </xf>
    <xf numFmtId="165" fontId="8" fillId="24" borderId="24" xfId="1582" applyNumberFormat="1" applyFont="1" applyFill="1" applyBorder="1" applyAlignment="1">
      <alignment horizontal="right"/>
    </xf>
    <xf numFmtId="17" fontId="8" fillId="24" borderId="21" xfId="0" quotePrefix="1" applyNumberFormat="1" applyFont="1" applyFill="1" applyBorder="1" applyAlignment="1">
      <alignment horizontal="center" vertical="center" wrapText="1"/>
    </xf>
    <xf numFmtId="165" fontId="8" fillId="24" borderId="18" xfId="1582" applyNumberFormat="1" applyFont="1" applyFill="1" applyBorder="1" applyAlignment="1" applyProtection="1">
      <alignment horizontal="right" vertical="center"/>
    </xf>
    <xf numFmtId="165" fontId="8" fillId="24" borderId="18" xfId="1582" applyNumberFormat="1" applyFont="1" applyFill="1" applyBorder="1" applyAlignment="1">
      <alignment horizontal="right" vertical="center"/>
    </xf>
    <xf numFmtId="17" fontId="8" fillId="24" borderId="20" xfId="0" quotePrefix="1" applyNumberFormat="1" applyFont="1" applyFill="1" applyBorder="1" applyAlignment="1">
      <alignment horizontal="center" vertical="center" wrapText="1"/>
    </xf>
    <xf numFmtId="0" fontId="8" fillId="24" borderId="18" xfId="0" applyFont="1" applyFill="1" applyBorder="1" applyAlignment="1">
      <alignment horizontal="center" vertical="center" wrapText="1"/>
    </xf>
    <xf numFmtId="165" fontId="8" fillId="24" borderId="10" xfId="1582" applyNumberFormat="1" applyFont="1" applyFill="1" applyBorder="1" applyAlignment="1" applyProtection="1">
      <alignment horizontal="right" vertical="center" wrapText="1"/>
    </xf>
    <xf numFmtId="165" fontId="8" fillId="24" borderId="10" xfId="1582" applyNumberFormat="1" applyFont="1" applyFill="1" applyBorder="1" applyAlignment="1">
      <alignment horizontal="right" vertical="center" wrapText="1"/>
    </xf>
    <xf numFmtId="0" fontId="8" fillId="24" borderId="10" xfId="0" applyFont="1" applyFill="1" applyBorder="1" applyAlignment="1">
      <alignment horizontal="center" vertical="center" wrapText="1"/>
    </xf>
    <xf numFmtId="0" fontId="8" fillId="24" borderId="22" xfId="0" applyFont="1" applyFill="1" applyBorder="1"/>
    <xf numFmtId="0" fontId="8" fillId="24" borderId="0" xfId="0" applyFont="1" applyFill="1"/>
    <xf numFmtId="0" fontId="8" fillId="24" borderId="21" xfId="0" applyFont="1" applyFill="1" applyBorder="1"/>
    <xf numFmtId="17" fontId="8" fillId="24" borderId="21" xfId="0" applyNumberFormat="1" applyFont="1" applyFill="1" applyBorder="1" applyAlignment="1">
      <alignment horizontal="center"/>
    </xf>
    <xf numFmtId="0" fontId="8" fillId="26" borderId="0" xfId="0" applyFont="1" applyFill="1" applyAlignment="1">
      <alignment horizontal="right"/>
    </xf>
    <xf numFmtId="0" fontId="8" fillId="24" borderId="19" xfId="0" applyFont="1" applyFill="1" applyBorder="1"/>
    <xf numFmtId="0" fontId="8" fillId="24" borderId="23" xfId="0" applyFont="1" applyFill="1" applyBorder="1"/>
    <xf numFmtId="0" fontId="8" fillId="24" borderId="20" xfId="0" applyFont="1" applyFill="1" applyBorder="1"/>
    <xf numFmtId="17" fontId="8" fillId="24" borderId="20" xfId="0" applyNumberFormat="1" applyFont="1" applyFill="1" applyBorder="1" applyAlignment="1">
      <alignment horizontal="center"/>
    </xf>
    <xf numFmtId="165" fontId="8" fillId="24" borderId="11" xfId="1582" applyNumberFormat="1" applyFont="1" applyFill="1" applyBorder="1" applyAlignment="1" applyProtection="1">
      <alignment horizontal="right"/>
    </xf>
    <xf numFmtId="165" fontId="8" fillId="24" borderId="11" xfId="1582" applyNumberFormat="1" applyFont="1" applyFill="1" applyBorder="1" applyAlignment="1">
      <alignment horizontal="right"/>
    </xf>
    <xf numFmtId="17" fontId="8" fillId="24" borderId="14" xfId="0" applyNumberFormat="1" applyFont="1" applyFill="1" applyBorder="1" applyAlignment="1">
      <alignment horizontal="center"/>
    </xf>
    <xf numFmtId="0" fontId="8" fillId="24" borderId="11" xfId="0" applyFont="1" applyFill="1" applyBorder="1" applyAlignment="1">
      <alignment horizontal="center"/>
    </xf>
    <xf numFmtId="166" fontId="8" fillId="26" borderId="0" xfId="1582" applyNumberFormat="1" applyFont="1" applyFill="1" applyAlignment="1">
      <alignment horizontal="right"/>
    </xf>
    <xf numFmtId="17" fontId="8" fillId="24" borderId="17" xfId="0" applyNumberFormat="1" applyFont="1" applyFill="1" applyBorder="1" applyAlignment="1">
      <alignment horizontal="center"/>
    </xf>
    <xf numFmtId="165" fontId="8" fillId="24" borderId="10" xfId="1582" applyNumberFormat="1" applyFont="1" applyFill="1" applyBorder="1" applyAlignment="1">
      <alignment horizontal="right"/>
    </xf>
    <xf numFmtId="0" fontId="8" fillId="24" borderId="22" xfId="0" applyFont="1" applyFill="1" applyBorder="1" applyAlignment="1">
      <alignment horizontal="left" vertical="center" wrapText="1"/>
    </xf>
    <xf numFmtId="17" fontId="8" fillId="24" borderId="0" xfId="0" applyNumberFormat="1" applyFont="1" applyFill="1"/>
    <xf numFmtId="0" fontId="8" fillId="24" borderId="0" xfId="0" applyFont="1" applyFill="1" applyAlignment="1">
      <alignment horizontal="left" vertical="center" wrapText="1"/>
    </xf>
    <xf numFmtId="165" fontId="8" fillId="24" borderId="10" xfId="1582" applyNumberFormat="1" applyFont="1" applyFill="1" applyBorder="1"/>
    <xf numFmtId="165" fontId="8" fillId="24" borderId="18" xfId="1582" applyNumberFormat="1" applyFont="1" applyFill="1" applyBorder="1" applyAlignment="1">
      <alignment horizontal="right"/>
    </xf>
    <xf numFmtId="0" fontId="5" fillId="24" borderId="12" xfId="0" quotePrefix="1" applyFont="1" applyFill="1" applyBorder="1" applyAlignment="1">
      <alignment horizontal="left" vertical="center"/>
    </xf>
    <xf numFmtId="169" fontId="5" fillId="24" borderId="19" xfId="1700" applyNumberFormat="1" applyFont="1" applyFill="1" applyBorder="1" applyAlignment="1">
      <alignment vertical="center"/>
    </xf>
    <xf numFmtId="169" fontId="5" fillId="24" borderId="11" xfId="1700" applyNumberFormat="1" applyFont="1" applyFill="1" applyBorder="1" applyAlignment="1">
      <alignment vertical="center"/>
    </xf>
    <xf numFmtId="0" fontId="8" fillId="24" borderId="14" xfId="0" applyFont="1" applyFill="1" applyBorder="1" applyAlignment="1">
      <alignment horizontal="center" vertical="center"/>
    </xf>
    <xf numFmtId="165" fontId="5" fillId="26" borderId="0" xfId="1582" applyNumberFormat="1" applyFont="1" applyFill="1" applyBorder="1" applyAlignment="1">
      <alignment horizontal="center"/>
    </xf>
    <xf numFmtId="17" fontId="5" fillId="26" borderId="0" xfId="0" applyNumberFormat="1" applyFont="1" applyFill="1" applyAlignment="1">
      <alignment horizontal="center"/>
    </xf>
    <xf numFmtId="0" fontId="49" fillId="26" borderId="0" xfId="0" applyFont="1" applyFill="1"/>
    <xf numFmtId="165" fontId="8" fillId="26" borderId="0" xfId="1582" applyNumberFormat="1" applyFont="1" applyFill="1" applyAlignment="1">
      <alignment horizontal="right"/>
    </xf>
    <xf numFmtId="0" fontId="8" fillId="26" borderId="0" xfId="0" applyFont="1" applyFill="1" applyAlignment="1">
      <alignment vertical="top"/>
    </xf>
    <xf numFmtId="168" fontId="8" fillId="24" borderId="11" xfId="1582" applyNumberFormat="1" applyFont="1" applyFill="1" applyBorder="1" applyAlignment="1">
      <alignment horizontal="center"/>
    </xf>
    <xf numFmtId="0" fontId="8" fillId="24" borderId="12" xfId="0" applyFont="1" applyFill="1" applyBorder="1" applyAlignment="1">
      <alignment horizontal="left" vertical="center" wrapText="1"/>
    </xf>
    <xf numFmtId="0" fontId="37" fillId="26" borderId="0" xfId="2022" applyFill="1" applyAlignment="1" applyProtection="1">
      <alignment vertical="center"/>
    </xf>
    <xf numFmtId="17" fontId="8" fillId="25" borderId="18" xfId="0" applyNumberFormat="1" applyFont="1" applyFill="1" applyBorder="1" applyAlignment="1">
      <alignment horizontal="center" vertical="center" wrapText="1"/>
    </xf>
    <xf numFmtId="17" fontId="8" fillId="25" borderId="11" xfId="0" applyNumberFormat="1" applyFont="1" applyFill="1" applyBorder="1" applyAlignment="1">
      <alignment horizontal="center" vertical="center" wrapText="1"/>
    </xf>
    <xf numFmtId="165" fontId="3" fillId="24" borderId="24" xfId="1582" applyNumberFormat="1" applyFill="1" applyBorder="1" applyAlignment="1">
      <alignment horizontal="center"/>
    </xf>
    <xf numFmtId="165" fontId="3" fillId="24" borderId="24" xfId="1582" applyNumberFormat="1" applyFill="1" applyBorder="1"/>
    <xf numFmtId="9" fontId="3" fillId="24" borderId="22" xfId="2971" applyFont="1" applyFill="1" applyBorder="1" applyAlignment="1">
      <alignment horizontal="left"/>
    </xf>
    <xf numFmtId="164" fontId="8" fillId="24" borderId="24" xfId="1582" applyNumberFormat="1" applyFont="1" applyFill="1" applyBorder="1" applyAlignment="1">
      <alignment horizontal="center" vertical="center" wrapText="1"/>
    </xf>
    <xf numFmtId="0" fontId="8" fillId="24" borderId="11" xfId="0" applyFont="1" applyFill="1" applyBorder="1" applyAlignment="1">
      <alignment horizontal="right" vertical="center" wrapText="1"/>
    </xf>
    <xf numFmtId="165" fontId="0" fillId="24" borderId="11" xfId="0" applyNumberFormat="1" applyFill="1" applyBorder="1" applyAlignment="1">
      <alignment horizontal="center"/>
    </xf>
    <xf numFmtId="164" fontId="0" fillId="24" borderId="11" xfId="0" applyNumberFormat="1" applyFill="1" applyBorder="1" applyAlignment="1">
      <alignment horizontal="center"/>
    </xf>
    <xf numFmtId="0" fontId="7" fillId="26" borderId="0" xfId="0" quotePrefix="1" applyFont="1" applyFill="1" applyAlignment="1">
      <alignment vertical="center"/>
    </xf>
    <xf numFmtId="0" fontId="7" fillId="26" borderId="0" xfId="0" applyFont="1" applyFill="1" applyAlignment="1">
      <alignment vertical="center" wrapText="1"/>
    </xf>
    <xf numFmtId="165" fontId="3" fillId="26" borderId="0" xfId="1582" applyNumberFormat="1" applyFill="1"/>
    <xf numFmtId="0" fontId="0" fillId="26" borderId="0" xfId="0" applyFill="1" applyAlignment="1" applyProtection="1">
      <alignment horizontal="left"/>
      <protection locked="0"/>
    </xf>
    <xf numFmtId="165" fontId="8" fillId="24" borderId="24" xfId="1582" applyNumberFormat="1" applyFont="1" applyFill="1" applyBorder="1" applyAlignment="1">
      <alignment horizontal="center" vertical="center" wrapText="1"/>
    </xf>
    <xf numFmtId="17" fontId="8" fillId="25" borderId="19" xfId="0" applyNumberFormat="1" applyFont="1" applyFill="1" applyBorder="1" applyAlignment="1">
      <alignment horizontal="center" vertical="center" wrapText="1"/>
    </xf>
    <xf numFmtId="0" fontId="5" fillId="25" borderId="12" xfId="0" quotePrefix="1" applyFont="1" applyFill="1" applyBorder="1" applyAlignment="1">
      <alignment horizontal="center" vertical="center" wrapText="1"/>
    </xf>
    <xf numFmtId="0" fontId="0" fillId="24" borderId="14" xfId="0" applyFill="1" applyBorder="1" applyAlignment="1">
      <alignment horizontal="center"/>
    </xf>
    <xf numFmtId="0" fontId="8" fillId="25" borderId="11" xfId="0" applyFont="1" applyFill="1" applyBorder="1" applyAlignment="1">
      <alignment horizontal="center" vertical="center" wrapText="1"/>
    </xf>
    <xf numFmtId="43" fontId="0" fillId="24" borderId="12" xfId="1582" applyFont="1" applyFill="1" applyBorder="1"/>
    <xf numFmtId="165" fontId="0" fillId="24" borderId="11" xfId="1582" applyNumberFormat="1" applyFont="1" applyFill="1" applyBorder="1" applyAlignment="1">
      <alignment horizontal="right"/>
    </xf>
    <xf numFmtId="0" fontId="0" fillId="24" borderId="11" xfId="0" applyFill="1" applyBorder="1" applyAlignment="1">
      <alignment horizontal="center"/>
    </xf>
    <xf numFmtId="165" fontId="0" fillId="24" borderId="11" xfId="0" applyNumberFormat="1" applyFill="1" applyBorder="1" applyAlignment="1">
      <alignment horizontal="right"/>
    </xf>
    <xf numFmtId="0" fontId="0" fillId="25" borderId="12" xfId="0" applyFill="1" applyBorder="1"/>
    <xf numFmtId="0" fontId="0" fillId="25" borderId="13" xfId="0" applyFill="1" applyBorder="1"/>
    <xf numFmtId="0" fontId="18" fillId="24" borderId="22" xfId="0" applyFont="1" applyFill="1" applyBorder="1"/>
    <xf numFmtId="165" fontId="0" fillId="24" borderId="21" xfId="1582" applyNumberFormat="1" applyFont="1" applyFill="1" applyBorder="1"/>
    <xf numFmtId="165" fontId="0" fillId="27" borderId="11" xfId="1582" applyNumberFormat="1" applyFont="1" applyFill="1" applyBorder="1" applyProtection="1">
      <protection locked="0"/>
    </xf>
    <xf numFmtId="0" fontId="0" fillId="27" borderId="12" xfId="0" applyFill="1" applyBorder="1" applyProtection="1">
      <protection locked="0"/>
    </xf>
    <xf numFmtId="43" fontId="0" fillId="27" borderId="13" xfId="1582" applyFont="1" applyFill="1" applyBorder="1" applyProtection="1">
      <protection locked="0"/>
    </xf>
    <xf numFmtId="43" fontId="0" fillId="27" borderId="14" xfId="1582" applyFont="1" applyFill="1" applyBorder="1" applyProtection="1">
      <protection locked="0"/>
    </xf>
    <xf numFmtId="43" fontId="0" fillId="27" borderId="12" xfId="1582" applyFont="1" applyFill="1" applyBorder="1" applyProtection="1">
      <protection locked="0"/>
    </xf>
    <xf numFmtId="0" fontId="0" fillId="27" borderId="14" xfId="0" applyFill="1" applyBorder="1" applyProtection="1">
      <protection locked="0"/>
    </xf>
    <xf numFmtId="0" fontId="0" fillId="27" borderId="11" xfId="0" applyFill="1" applyBorder="1" applyAlignment="1" applyProtection="1">
      <alignment horizontal="center"/>
      <protection locked="0"/>
    </xf>
    <xf numFmtId="0" fontId="0" fillId="27" borderId="18" xfId="0" applyFill="1" applyBorder="1" applyAlignment="1" applyProtection="1">
      <alignment horizontal="center"/>
      <protection locked="0"/>
    </xf>
    <xf numFmtId="0" fontId="0" fillId="27" borderId="11" xfId="0" applyFill="1" applyBorder="1" applyAlignment="1" applyProtection="1">
      <alignment horizontal="right"/>
      <protection locked="0"/>
    </xf>
    <xf numFmtId="0" fontId="0" fillId="27" borderId="11" xfId="0" applyFill="1" applyBorder="1" applyProtection="1">
      <protection locked="0"/>
    </xf>
    <xf numFmtId="0" fontId="0" fillId="25" borderId="11" xfId="0" applyFill="1" applyBorder="1" applyAlignment="1">
      <alignment horizontal="center" vertical="center" wrapText="1"/>
    </xf>
    <xf numFmtId="165" fontId="0" fillId="24" borderId="17" xfId="1582" applyNumberFormat="1" applyFont="1" applyFill="1" applyBorder="1"/>
    <xf numFmtId="165" fontId="8" fillId="24" borderId="24" xfId="1582" applyNumberFormat="1" applyFont="1" applyFill="1" applyBorder="1"/>
    <xf numFmtId="165" fontId="23" fillId="24" borderId="21" xfId="1582" applyNumberFormat="1" applyFont="1" applyFill="1" applyBorder="1"/>
    <xf numFmtId="165" fontId="12" fillId="24" borderId="18" xfId="1582" applyNumberFormat="1" applyFont="1" applyFill="1" applyBorder="1"/>
    <xf numFmtId="165" fontId="0" fillId="24" borderId="20" xfId="1582" applyNumberFormat="1" applyFont="1" applyFill="1" applyBorder="1"/>
    <xf numFmtId="0" fontId="8" fillId="25" borderId="12" xfId="0" applyFont="1" applyFill="1" applyBorder="1"/>
    <xf numFmtId="169" fontId="0" fillId="25" borderId="14" xfId="0" applyNumberFormat="1" applyFill="1" applyBorder="1"/>
    <xf numFmtId="169" fontId="0" fillId="24" borderId="21" xfId="0" applyNumberFormat="1" applyFill="1" applyBorder="1"/>
    <xf numFmtId="169" fontId="0" fillId="24" borderId="20" xfId="0" applyNumberFormat="1" applyFill="1" applyBorder="1"/>
    <xf numFmtId="0" fontId="8" fillId="25" borderId="14" xfId="0" applyFont="1" applyFill="1" applyBorder="1"/>
    <xf numFmtId="0" fontId="8" fillId="25" borderId="13" xfId="0" applyFont="1" applyFill="1" applyBorder="1"/>
    <xf numFmtId="0" fontId="8" fillId="24" borderId="15" xfId="0" applyFont="1" applyFill="1" applyBorder="1"/>
    <xf numFmtId="0" fontId="8" fillId="24" borderId="16" xfId="0" applyFont="1" applyFill="1" applyBorder="1"/>
    <xf numFmtId="0" fontId="8" fillId="24" borderId="17" xfId="0" applyFont="1" applyFill="1" applyBorder="1"/>
    <xf numFmtId="17" fontId="0" fillId="24" borderId="21" xfId="0" applyNumberFormat="1" applyFill="1" applyBorder="1" applyAlignment="1">
      <alignment horizontal="left"/>
    </xf>
    <xf numFmtId="0" fontId="50" fillId="24" borderId="0" xfId="0" applyFont="1" applyFill="1"/>
    <xf numFmtId="17" fontId="0" fillId="24" borderId="20" xfId="0" applyNumberFormat="1" applyFill="1" applyBorder="1" applyAlignment="1">
      <alignment horizontal="left"/>
    </xf>
    <xf numFmtId="0" fontId="8" fillId="25" borderId="11" xfId="0" applyFont="1" applyFill="1" applyBorder="1"/>
    <xf numFmtId="17" fontId="0" fillId="24" borderId="18" xfId="0" applyNumberFormat="1" applyFill="1" applyBorder="1" applyAlignment="1">
      <alignment horizontal="left"/>
    </xf>
    <xf numFmtId="0" fontId="0" fillId="24" borderId="10" xfId="0" applyFill="1" applyBorder="1" applyAlignment="1">
      <alignment horizontal="right"/>
    </xf>
    <xf numFmtId="0" fontId="0" fillId="24" borderId="24" xfId="0" applyFill="1" applyBorder="1" applyAlignment="1">
      <alignment horizontal="right"/>
    </xf>
    <xf numFmtId="165" fontId="0" fillId="24" borderId="18" xfId="1582" applyNumberFormat="1" applyFont="1" applyFill="1" applyBorder="1" applyAlignment="1">
      <alignment horizontal="right"/>
    </xf>
    <xf numFmtId="0" fontId="0" fillId="24" borderId="18" xfId="0" applyFill="1" applyBorder="1" applyAlignment="1">
      <alignment horizontal="right"/>
    </xf>
    <xf numFmtId="0" fontId="8" fillId="24" borderId="10" xfId="0" applyFont="1" applyFill="1" applyBorder="1"/>
    <xf numFmtId="0" fontId="0" fillId="24" borderId="10" xfId="0" applyFill="1" applyBorder="1" applyAlignment="1">
      <alignment horizontal="left"/>
    </xf>
    <xf numFmtId="0" fontId="8" fillId="24" borderId="24" xfId="0" applyFont="1" applyFill="1" applyBorder="1"/>
    <xf numFmtId="0" fontId="0" fillId="24" borderId="24" xfId="0" applyFill="1" applyBorder="1" applyAlignment="1">
      <alignment horizontal="left"/>
    </xf>
    <xf numFmtId="0" fontId="8" fillId="24" borderId="18" xfId="0" applyFont="1" applyFill="1" applyBorder="1"/>
    <xf numFmtId="0" fontId="0" fillId="24" borderId="18" xfId="0" applyFill="1" applyBorder="1" applyAlignment="1">
      <alignment horizontal="left"/>
    </xf>
    <xf numFmtId="165" fontId="0" fillId="24" borderId="18" xfId="1582" applyNumberFormat="1" applyFont="1" applyFill="1" applyBorder="1"/>
    <xf numFmtId="166" fontId="0" fillId="24" borderId="10" xfId="1582" quotePrefix="1" applyNumberFormat="1" applyFont="1" applyFill="1" applyBorder="1"/>
    <xf numFmtId="164" fontId="8" fillId="26" borderId="0" xfId="1582" quotePrefix="1" applyNumberFormat="1" applyFont="1" applyFill="1" applyAlignment="1">
      <alignment vertical="center" wrapText="1"/>
    </xf>
    <xf numFmtId="166" fontId="0" fillId="26" borderId="0" xfId="1582" applyNumberFormat="1" applyFont="1" applyFill="1" applyBorder="1"/>
    <xf numFmtId="43" fontId="0" fillId="26" borderId="18" xfId="1582" applyFont="1" applyFill="1" applyBorder="1"/>
    <xf numFmtId="43" fontId="0" fillId="26" borderId="19" xfId="1582" applyFont="1" applyFill="1" applyBorder="1"/>
    <xf numFmtId="43" fontId="0" fillId="26" borderId="24" xfId="1582" applyFont="1" applyFill="1" applyBorder="1"/>
    <xf numFmtId="165" fontId="0" fillId="26" borderId="0" xfId="0" applyNumberFormat="1" applyFill="1"/>
    <xf numFmtId="0" fontId="0" fillId="26" borderId="0" xfId="0" applyFill="1" applyAlignment="1">
      <alignment horizontal="left"/>
    </xf>
    <xf numFmtId="166" fontId="0" fillId="24" borderId="24" xfId="1582" quotePrefix="1" applyNumberFormat="1" applyFont="1" applyFill="1" applyBorder="1"/>
    <xf numFmtId="166" fontId="0" fillId="24" borderId="18" xfId="1582" quotePrefix="1" applyNumberFormat="1" applyFont="1" applyFill="1" applyBorder="1"/>
    <xf numFmtId="0" fontId="0" fillId="26" borderId="0" xfId="0" quotePrefix="1" applyFill="1" applyAlignment="1">
      <alignment vertical="top"/>
    </xf>
    <xf numFmtId="0" fontId="0" fillId="26" borderId="0" xfId="0" quotePrefix="1" applyFill="1" applyAlignment="1">
      <alignment horizontal="left" vertical="top" indent="2"/>
    </xf>
    <xf numFmtId="14" fontId="0" fillId="27" borderId="11" xfId="0" applyNumberFormat="1" applyFill="1" applyBorder="1" applyAlignment="1">
      <alignment vertical="top"/>
    </xf>
    <xf numFmtId="0" fontId="18" fillId="24" borderId="19" xfId="0" applyFont="1" applyFill="1" applyBorder="1"/>
    <xf numFmtId="0" fontId="8" fillId="26" borderId="22" xfId="0" applyFont="1" applyFill="1" applyBorder="1" applyAlignment="1">
      <alignment vertical="center" wrapText="1"/>
    </xf>
    <xf numFmtId="169" fontId="8" fillId="26" borderId="0" xfId="0" applyNumberFormat="1" applyFont="1" applyFill="1"/>
    <xf numFmtId="165" fontId="12" fillId="24" borderId="24" xfId="1582" applyNumberFormat="1" applyFont="1" applyFill="1" applyBorder="1"/>
    <xf numFmtId="165" fontId="5" fillId="24" borderId="20" xfId="1582" applyNumberFormat="1" applyFont="1" applyFill="1" applyBorder="1"/>
    <xf numFmtId="43" fontId="8" fillId="26" borderId="0" xfId="0" applyNumberFormat="1" applyFont="1" applyFill="1"/>
    <xf numFmtId="1" fontId="8" fillId="26" borderId="0" xfId="0" applyNumberFormat="1" applyFont="1" applyFill="1" applyAlignment="1">
      <alignment vertical="center" wrapText="1"/>
    </xf>
    <xf numFmtId="2" fontId="22" fillId="26" borderId="0" xfId="0" quotePrefix="1" applyNumberFormat="1" applyFont="1" applyFill="1" applyAlignment="1">
      <alignment horizontal="left"/>
    </xf>
    <xf numFmtId="2" fontId="0" fillId="0" borderId="11" xfId="0" applyNumberFormat="1" applyBorder="1" applyAlignment="1">
      <alignment vertical="top"/>
    </xf>
    <xf numFmtId="0" fontId="0" fillId="24" borderId="11" xfId="0" applyFill="1" applyBorder="1" applyAlignment="1">
      <alignment horizontal="left"/>
    </xf>
    <xf numFmtId="0" fontId="5" fillId="25" borderId="15" xfId="2841" applyFont="1" applyFill="1" applyBorder="1" applyAlignment="1">
      <alignment horizontal="center" vertical="center"/>
    </xf>
    <xf numFmtId="0" fontId="3" fillId="26" borderId="0" xfId="0" quotePrefix="1" applyFont="1" applyFill="1" applyAlignment="1">
      <alignment horizontal="right"/>
    </xf>
    <xf numFmtId="0" fontId="3" fillId="24" borderId="24" xfId="0" applyFont="1" applyFill="1" applyBorder="1" applyAlignment="1">
      <alignment horizontal="center"/>
    </xf>
    <xf numFmtId="0" fontId="3" fillId="24" borderId="16" xfId="2841" applyFill="1" applyBorder="1"/>
    <xf numFmtId="0" fontId="3" fillId="24" borderId="15" xfId="2841" applyFill="1" applyBorder="1"/>
    <xf numFmtId="0" fontId="3" fillId="24" borderId="19" xfId="2841" applyFill="1" applyBorder="1"/>
    <xf numFmtId="0" fontId="3" fillId="24" borderId="22" xfId="2841" applyFill="1" applyBorder="1"/>
    <xf numFmtId="0" fontId="3" fillId="24" borderId="0" xfId="2841" applyFill="1"/>
    <xf numFmtId="0" fontId="3" fillId="24" borderId="23" xfId="2841" applyFill="1" applyBorder="1"/>
    <xf numFmtId="0" fontId="3" fillId="24" borderId="10" xfId="2841" applyFill="1" applyBorder="1" applyAlignment="1">
      <alignment horizontal="center"/>
    </xf>
    <xf numFmtId="0" fontId="3" fillId="24" borderId="24" xfId="2841" applyFill="1" applyBorder="1" applyAlignment="1">
      <alignment horizontal="center"/>
    </xf>
    <xf numFmtId="0" fontId="3" fillId="24" borderId="24" xfId="2841" quotePrefix="1" applyFill="1" applyBorder="1" applyAlignment="1">
      <alignment horizontal="center"/>
    </xf>
    <xf numFmtId="0" fontId="3" fillId="24" borderId="22" xfId="2841" quotePrefix="1" applyFill="1" applyBorder="1" applyAlignment="1">
      <alignment horizontal="left"/>
    </xf>
    <xf numFmtId="0" fontId="5" fillId="25" borderId="10" xfId="2841" quotePrefix="1" applyFont="1" applyFill="1" applyBorder="1" applyAlignment="1">
      <alignment horizontal="center" vertical="center"/>
    </xf>
    <xf numFmtId="0" fontId="3" fillId="24" borderId="18" xfId="2841" quotePrefix="1" applyFill="1" applyBorder="1" applyAlignment="1">
      <alignment horizontal="center"/>
    </xf>
    <xf numFmtId="0" fontId="55" fillId="25" borderId="22" xfId="2768" applyFont="1" applyFill="1" applyBorder="1"/>
    <xf numFmtId="0" fontId="55" fillId="25" borderId="0" xfId="2768" applyFont="1" applyFill="1"/>
    <xf numFmtId="0" fontId="55" fillId="25" borderId="24" xfId="2768" applyFont="1" applyFill="1" applyBorder="1" applyAlignment="1">
      <alignment horizontal="center"/>
    </xf>
    <xf numFmtId="0" fontId="55" fillId="25" borderId="24" xfId="2768" quotePrefix="1" applyFont="1" applyFill="1" applyBorder="1" applyAlignment="1">
      <alignment horizontal="center"/>
    </xf>
    <xf numFmtId="0" fontId="3" fillId="24" borderId="17" xfId="2841" applyFill="1" applyBorder="1" applyAlignment="1">
      <alignment horizontal="left"/>
    </xf>
    <xf numFmtId="0" fontId="3" fillId="24" borderId="21" xfId="2841" quotePrefix="1" applyFill="1" applyBorder="1" applyAlignment="1">
      <alignment horizontal="left"/>
    </xf>
    <xf numFmtId="0" fontId="3" fillId="24" borderId="21" xfId="2841" applyFill="1" applyBorder="1" applyAlignment="1">
      <alignment horizontal="left"/>
    </xf>
    <xf numFmtId="0" fontId="55" fillId="25" borderId="21" xfId="2768" applyFont="1" applyFill="1" applyBorder="1" applyAlignment="1">
      <alignment horizontal="left"/>
    </xf>
    <xf numFmtId="0" fontId="3" fillId="24" borderId="20" xfId="2841" quotePrefix="1" applyFill="1" applyBorder="1" applyAlignment="1">
      <alignment horizontal="left"/>
    </xf>
    <xf numFmtId="0" fontId="51" fillId="26" borderId="0" xfId="2842" quotePrefix="1" applyFill="1" applyAlignment="1">
      <alignment horizontal="right"/>
    </xf>
    <xf numFmtId="0" fontId="5" fillId="26" borderId="0" xfId="2842" applyFont="1" applyFill="1"/>
    <xf numFmtId="0" fontId="3" fillId="24" borderId="16" xfId="2777" applyFill="1" applyBorder="1"/>
    <xf numFmtId="0" fontId="3" fillId="24" borderId="17" xfId="2777" applyFill="1" applyBorder="1"/>
    <xf numFmtId="0" fontId="3" fillId="24" borderId="15" xfId="2777" applyFill="1" applyBorder="1"/>
    <xf numFmtId="0" fontId="3" fillId="24" borderId="19" xfId="2777" applyFill="1" applyBorder="1"/>
    <xf numFmtId="0" fontId="3" fillId="24" borderId="22" xfId="2777" applyFill="1" applyBorder="1"/>
    <xf numFmtId="0" fontId="3" fillId="24" borderId="0" xfId="2777" applyFill="1"/>
    <xf numFmtId="0" fontId="3" fillId="24" borderId="21" xfId="2777" applyFill="1" applyBorder="1"/>
    <xf numFmtId="0" fontId="3" fillId="24" borderId="23" xfId="2777" applyFill="1" applyBorder="1"/>
    <xf numFmtId="0" fontId="3" fillId="24" borderId="20" xfId="2777" applyFill="1" applyBorder="1"/>
    <xf numFmtId="0" fontId="6" fillId="26" borderId="0" xfId="2777" applyFont="1" applyFill="1"/>
    <xf numFmtId="14" fontId="3" fillId="0" borderId="11" xfId="2692" applyNumberFormat="1" applyBorder="1" applyAlignment="1">
      <alignment vertical="top"/>
    </xf>
    <xf numFmtId="0" fontId="3" fillId="0" borderId="11" xfId="2692" applyBorder="1" applyAlignment="1">
      <alignment vertical="top"/>
    </xf>
    <xf numFmtId="14" fontId="3" fillId="0" borderId="11" xfId="2693" applyNumberFormat="1" applyBorder="1" applyAlignment="1">
      <alignment vertical="top"/>
    </xf>
    <xf numFmtId="0" fontId="3" fillId="0" borderId="11" xfId="2693" applyBorder="1" applyAlignment="1">
      <alignment vertical="top"/>
    </xf>
    <xf numFmtId="14" fontId="3" fillId="0" borderId="11" xfId="2697" applyNumberFormat="1" applyBorder="1" applyAlignment="1">
      <alignment vertical="top"/>
    </xf>
    <xf numFmtId="172" fontId="3" fillId="0" borderId="11" xfId="2697" applyBorder="1" applyAlignment="1">
      <alignment vertical="top"/>
    </xf>
    <xf numFmtId="2" fontId="11" fillId="26" borderId="0" xfId="0" applyNumberFormat="1" applyFont="1" applyFill="1" applyAlignment="1">
      <alignment vertical="top"/>
    </xf>
    <xf numFmtId="14" fontId="54" fillId="0" borderId="11" xfId="2184" applyNumberFormat="1" applyBorder="1" applyAlignment="1">
      <alignment vertical="top"/>
    </xf>
    <xf numFmtId="0" fontId="54" fillId="0" borderId="11" xfId="2184" applyBorder="1" applyAlignment="1">
      <alignment vertical="top"/>
    </xf>
    <xf numFmtId="43" fontId="8" fillId="24" borderId="24" xfId="1582" applyFont="1" applyFill="1" applyBorder="1" applyAlignment="1" applyProtection="1">
      <alignment horizontal="right"/>
    </xf>
    <xf numFmtId="43" fontId="8" fillId="24" borderId="18" xfId="1582" applyFont="1" applyFill="1" applyBorder="1" applyAlignment="1" applyProtection="1">
      <alignment horizontal="right" vertical="center"/>
    </xf>
    <xf numFmtId="43" fontId="8" fillId="24" borderId="10" xfId="1582" applyFont="1" applyFill="1" applyBorder="1" applyAlignment="1" applyProtection="1">
      <alignment horizontal="right" vertical="center" wrapText="1"/>
    </xf>
    <xf numFmtId="43" fontId="8" fillId="24" borderId="11" xfId="1582" quotePrefix="1" applyFont="1" applyFill="1" applyBorder="1" applyAlignment="1" applyProtection="1">
      <alignment horizontal="right"/>
    </xf>
    <xf numFmtId="43" fontId="8" fillId="24" borderId="11" xfId="1582" applyFont="1" applyFill="1" applyBorder="1" applyAlignment="1" applyProtection="1">
      <alignment horizontal="right"/>
    </xf>
    <xf numFmtId="43" fontId="8" fillId="24" borderId="10" xfId="1582" applyFont="1" applyFill="1" applyBorder="1" applyAlignment="1">
      <alignment horizontal="right"/>
    </xf>
    <xf numFmtId="43" fontId="8" fillId="24" borderId="24" xfId="1582" applyFont="1" applyFill="1" applyBorder="1" applyAlignment="1">
      <alignment horizontal="right"/>
    </xf>
    <xf numFmtId="43" fontId="8" fillId="24" borderId="18" xfId="1582" applyFont="1" applyFill="1" applyBorder="1" applyAlignment="1">
      <alignment horizontal="right"/>
    </xf>
    <xf numFmtId="43" fontId="5" fillId="24" borderId="19" xfId="1700" applyNumberFormat="1" applyFont="1" applyFill="1" applyBorder="1" applyAlignment="1">
      <alignment vertical="center"/>
    </xf>
    <xf numFmtId="43" fontId="8" fillId="24" borderId="22" xfId="1582" applyFont="1" applyFill="1" applyBorder="1" applyAlignment="1">
      <alignment horizontal="right"/>
    </xf>
    <xf numFmtId="43" fontId="8" fillId="24" borderId="15" xfId="1582" applyFont="1" applyFill="1" applyBorder="1" applyAlignment="1">
      <alignment horizontal="right" vertical="center" wrapText="1"/>
    </xf>
    <xf numFmtId="43" fontId="8" fillId="24" borderId="12" xfId="1582" applyFont="1" applyFill="1" applyBorder="1" applyAlignment="1">
      <alignment horizontal="right"/>
    </xf>
    <xf numFmtId="43" fontId="8" fillId="24" borderId="15" xfId="1582" applyFont="1" applyFill="1" applyBorder="1" applyAlignment="1">
      <alignment horizontal="right"/>
    </xf>
    <xf numFmtId="43" fontId="8" fillId="24" borderId="19" xfId="1582" applyFont="1" applyFill="1" applyBorder="1" applyAlignment="1">
      <alignment horizontal="right"/>
    </xf>
    <xf numFmtId="43" fontId="5" fillId="24" borderId="12" xfId="1700" applyNumberFormat="1" applyFont="1" applyFill="1" applyBorder="1" applyAlignment="1">
      <alignment vertical="center"/>
    </xf>
    <xf numFmtId="14" fontId="3" fillId="0" borderId="11" xfId="2695" applyNumberFormat="1" applyBorder="1" applyAlignment="1">
      <alignment vertical="top"/>
    </xf>
    <xf numFmtId="172" fontId="3" fillId="0" borderId="11" xfId="2695" applyBorder="1" applyAlignment="1">
      <alignment vertical="top"/>
    </xf>
    <xf numFmtId="14" fontId="3" fillId="0" borderId="11" xfId="2181" applyNumberFormat="1" applyBorder="1" applyAlignment="1">
      <alignment vertical="top"/>
    </xf>
    <xf numFmtId="172" fontId="3" fillId="0" borderId="11" xfId="2181" applyBorder="1" applyAlignment="1">
      <alignment vertical="top"/>
    </xf>
    <xf numFmtId="49" fontId="3" fillId="0" borderId="11" xfId="0" applyNumberFormat="1" applyFont="1" applyBorder="1" applyAlignment="1">
      <alignment vertical="top"/>
    </xf>
    <xf numFmtId="0" fontId="3" fillId="0" borderId="11" xfId="0" applyFont="1" applyBorder="1" applyAlignment="1">
      <alignment vertical="top"/>
    </xf>
    <xf numFmtId="173" fontId="13" fillId="28" borderId="11" xfId="2763" applyNumberFormat="1" applyFont="1" applyFill="1" applyBorder="1" applyAlignment="1">
      <alignment horizontal="center" vertical="top" wrapText="1"/>
    </xf>
    <xf numFmtId="167" fontId="13" fillId="28" borderId="10" xfId="2763" quotePrefix="1" applyNumberFormat="1" applyFont="1" applyFill="1" applyBorder="1" applyAlignment="1">
      <alignment horizontal="center" vertical="center"/>
    </xf>
    <xf numFmtId="167" fontId="13" fillId="28" borderId="18" xfId="2763" applyNumberFormat="1" applyFont="1" applyFill="1" applyBorder="1" applyAlignment="1">
      <alignment horizontal="center" vertical="center"/>
    </xf>
    <xf numFmtId="0" fontId="3" fillId="0" borderId="11" xfId="0" quotePrefix="1" applyFont="1" applyBorder="1" applyAlignment="1">
      <alignment vertical="top"/>
    </xf>
    <xf numFmtId="14" fontId="3" fillId="0" borderId="11" xfId="0" applyNumberFormat="1" applyFont="1" applyBorder="1" applyAlignment="1">
      <alignment vertical="top"/>
    </xf>
    <xf numFmtId="0" fontId="0" fillId="26" borderId="0" xfId="0" applyFill="1" applyAlignment="1">
      <alignment horizontal="left" vertical="top" wrapText="1"/>
    </xf>
    <xf numFmtId="0" fontId="0" fillId="26" borderId="0" xfId="0" quotePrefix="1" applyFill="1" applyAlignment="1">
      <alignment horizontal="left" vertical="top" wrapText="1"/>
    </xf>
    <xf numFmtId="0" fontId="5" fillId="25" borderId="15" xfId="0" applyFont="1" applyFill="1" applyBorder="1" applyAlignment="1">
      <alignment horizontal="center" vertical="center"/>
    </xf>
    <xf numFmtId="0" fontId="5" fillId="25" borderId="17" xfId="0" applyFont="1" applyFill="1" applyBorder="1" applyAlignment="1">
      <alignment horizontal="center" vertical="center"/>
    </xf>
    <xf numFmtId="0" fontId="13" fillId="24" borderId="12" xfId="0" applyFont="1" applyFill="1" applyBorder="1" applyAlignment="1">
      <alignment horizontal="center"/>
    </xf>
    <xf numFmtId="0" fontId="13" fillId="24" borderId="14" xfId="0" applyFont="1" applyFill="1" applyBorder="1" applyAlignment="1">
      <alignment horizontal="center"/>
    </xf>
    <xf numFmtId="0" fontId="3" fillId="24" borderId="19" xfId="0" applyFont="1" applyFill="1" applyBorder="1" applyAlignment="1">
      <alignment horizontal="center"/>
    </xf>
    <xf numFmtId="0" fontId="3" fillId="24" borderId="20" xfId="0" applyFont="1" applyFill="1" applyBorder="1" applyAlignment="1">
      <alignment horizontal="center"/>
    </xf>
    <xf numFmtId="0" fontId="8" fillId="24" borderId="22" xfId="0" applyFont="1" applyFill="1" applyBorder="1" applyAlignment="1">
      <alignment horizontal="left" vertical="center" wrapText="1"/>
    </xf>
    <xf numFmtId="0" fontId="8" fillId="24" borderId="0" xfId="0" applyFont="1" applyFill="1" applyAlignment="1">
      <alignment horizontal="left" vertical="center" wrapText="1"/>
    </xf>
    <xf numFmtId="0" fontId="8" fillId="24" borderId="15" xfId="0" applyFont="1" applyFill="1" applyBorder="1" applyAlignment="1">
      <alignment horizontal="left" vertical="center" wrapText="1"/>
    </xf>
    <xf numFmtId="0" fontId="8" fillId="24" borderId="16" xfId="0" applyFont="1" applyFill="1" applyBorder="1" applyAlignment="1">
      <alignment horizontal="left" vertical="center" wrapText="1"/>
    </xf>
    <xf numFmtId="0" fontId="8" fillId="24" borderId="17" xfId="0" applyFont="1" applyFill="1" applyBorder="1" applyAlignment="1">
      <alignment horizontal="left" vertical="center" wrapText="1"/>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8" fillId="24" borderId="12" xfId="0" applyFont="1" applyFill="1" applyBorder="1" applyAlignment="1">
      <alignment horizontal="left" vertical="center" wrapText="1"/>
    </xf>
    <xf numFmtId="0" fontId="8" fillId="24" borderId="13" xfId="0" applyFont="1" applyFill="1" applyBorder="1" applyAlignment="1">
      <alignment horizontal="left" vertical="center" wrapText="1"/>
    </xf>
    <xf numFmtId="0" fontId="8" fillId="24" borderId="14" xfId="0" applyFont="1" applyFill="1" applyBorder="1" applyAlignment="1">
      <alignment horizontal="left" vertical="center" wrapText="1"/>
    </xf>
    <xf numFmtId="0" fontId="8" fillId="26" borderId="0" xfId="0" quotePrefix="1" applyFont="1" applyFill="1" applyAlignment="1">
      <alignment horizontal="left" vertical="center" wrapText="1"/>
    </xf>
    <xf numFmtId="0" fontId="8" fillId="26" borderId="0" xfId="0" applyFont="1" applyFill="1" applyAlignment="1">
      <alignment horizontal="left" vertical="center" wrapText="1"/>
    </xf>
    <xf numFmtId="0" fontId="13" fillId="24" borderId="22" xfId="0" applyFont="1" applyFill="1" applyBorder="1" applyAlignment="1">
      <alignment horizontal="center"/>
    </xf>
    <xf numFmtId="0" fontId="13" fillId="24" borderId="21" xfId="0" applyFont="1" applyFill="1" applyBorder="1" applyAlignment="1">
      <alignment horizontal="center"/>
    </xf>
    <xf numFmtId="0" fontId="5" fillId="25" borderId="12" xfId="0" quotePrefix="1" applyFont="1" applyFill="1" applyBorder="1" applyAlignment="1">
      <alignment horizontal="center" vertical="center" wrapText="1"/>
    </xf>
    <xf numFmtId="0" fontId="5" fillId="25" borderId="14" xfId="0" quotePrefix="1" applyFont="1" applyFill="1" applyBorder="1" applyAlignment="1">
      <alignment horizontal="center" vertical="center" wrapText="1"/>
    </xf>
    <xf numFmtId="0" fontId="5" fillId="25" borderId="12" xfId="0" applyFont="1" applyFill="1" applyBorder="1" applyAlignment="1">
      <alignment horizontal="center"/>
    </xf>
    <xf numFmtId="0" fontId="5" fillId="25" borderId="13" xfId="0" applyFont="1" applyFill="1" applyBorder="1" applyAlignment="1">
      <alignment horizontal="center"/>
    </xf>
    <xf numFmtId="0" fontId="5" fillId="25" borderId="14" xfId="0" applyFont="1" applyFill="1" applyBorder="1" applyAlignment="1">
      <alignment horizontal="center"/>
    </xf>
    <xf numFmtId="14" fontId="8" fillId="0" borderId="12" xfId="0" applyNumberFormat="1" applyFont="1" applyBorder="1" applyAlignment="1" applyProtection="1">
      <alignment horizontal="left" vertical="center"/>
      <protection locked="0"/>
    </xf>
    <xf numFmtId="14" fontId="8" fillId="0" borderId="13" xfId="0" applyNumberFormat="1" applyFont="1" applyBorder="1" applyAlignment="1" applyProtection="1">
      <alignment horizontal="left" vertical="center"/>
      <protection locked="0"/>
    </xf>
    <xf numFmtId="14" fontId="8" fillId="0" borderId="14" xfId="0" applyNumberFormat="1"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14" fillId="25" borderId="12" xfId="0" applyFont="1" applyFill="1" applyBorder="1" applyAlignment="1">
      <alignment horizontal="center"/>
    </xf>
    <xf numFmtId="0" fontId="14" fillId="25" borderId="13" xfId="0" applyFont="1" applyFill="1" applyBorder="1" applyAlignment="1">
      <alignment horizontal="center"/>
    </xf>
    <xf numFmtId="0" fontId="14" fillId="25" borderId="14" xfId="0" applyFont="1" applyFill="1" applyBorder="1" applyAlignment="1">
      <alignment horizontal="center"/>
    </xf>
    <xf numFmtId="0" fontId="16" fillId="0" borderId="12"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26" borderId="0" xfId="0" quotePrefix="1" applyFont="1" applyFill="1" applyAlignment="1">
      <alignment horizontal="left" vertical="center" wrapText="1"/>
    </xf>
    <xf numFmtId="0" fontId="16" fillId="26" borderId="0" xfId="0" applyFont="1" applyFill="1" applyAlignment="1">
      <alignment horizontal="left" vertical="center" wrapText="1"/>
    </xf>
    <xf numFmtId="0" fontId="15" fillId="25" borderId="12" xfId="0" quotePrefix="1" applyFont="1" applyFill="1" applyBorder="1" applyAlignment="1">
      <alignment horizontal="center" vertical="center" wrapText="1"/>
    </xf>
    <xf numFmtId="0" fontId="15" fillId="25" borderId="14" xfId="0" quotePrefix="1" applyFont="1" applyFill="1" applyBorder="1" applyAlignment="1">
      <alignment horizontal="center" vertical="center" wrapText="1"/>
    </xf>
    <xf numFmtId="0" fontId="15" fillId="25" borderId="15" xfId="0" applyFont="1" applyFill="1" applyBorder="1" applyAlignment="1">
      <alignment horizontal="center" vertical="center"/>
    </xf>
    <xf numFmtId="0" fontId="15" fillId="25" borderId="17" xfId="0" applyFont="1" applyFill="1" applyBorder="1" applyAlignment="1">
      <alignment horizontal="center" vertical="center"/>
    </xf>
    <xf numFmtId="0" fontId="13" fillId="24" borderId="15" xfId="0" applyFont="1" applyFill="1" applyBorder="1" applyAlignment="1">
      <alignment horizontal="center"/>
    </xf>
    <xf numFmtId="0" fontId="13" fillId="24" borderId="17" xfId="0" applyFont="1" applyFill="1" applyBorder="1" applyAlignment="1">
      <alignment horizontal="center"/>
    </xf>
    <xf numFmtId="0" fontId="13" fillId="24" borderId="19" xfId="0" applyFont="1" applyFill="1" applyBorder="1" applyAlignment="1">
      <alignment horizontal="center"/>
    </xf>
    <xf numFmtId="0" fontId="13" fillId="24" borderId="20" xfId="0" applyFont="1" applyFill="1" applyBorder="1" applyAlignment="1">
      <alignment horizontal="center"/>
    </xf>
    <xf numFmtId="0" fontId="13" fillId="24" borderId="15" xfId="0" applyFont="1" applyFill="1" applyBorder="1" applyAlignment="1">
      <alignment horizontal="left" vertical="center" wrapText="1"/>
    </xf>
    <xf numFmtId="0" fontId="13" fillId="24" borderId="16" xfId="0" applyFont="1" applyFill="1" applyBorder="1" applyAlignment="1">
      <alignment horizontal="left" vertical="center" wrapText="1"/>
    </xf>
    <xf numFmtId="0" fontId="13" fillId="24" borderId="17" xfId="0" applyFont="1" applyFill="1" applyBorder="1" applyAlignment="1">
      <alignment horizontal="left" vertical="center" wrapText="1"/>
    </xf>
    <xf numFmtId="0" fontId="15" fillId="25" borderId="12" xfId="0" applyFont="1" applyFill="1" applyBorder="1" applyAlignment="1">
      <alignment horizontal="center" vertical="center" wrapText="1"/>
    </xf>
    <xf numFmtId="0" fontId="15" fillId="25" borderId="13" xfId="0" applyFont="1" applyFill="1" applyBorder="1" applyAlignment="1">
      <alignment horizontal="center" vertical="center" wrapText="1"/>
    </xf>
    <xf numFmtId="0" fontId="15" fillId="25" borderId="14" xfId="0" applyFont="1" applyFill="1" applyBorder="1" applyAlignment="1">
      <alignment horizontal="center" vertical="center" wrapText="1"/>
    </xf>
    <xf numFmtId="0" fontId="13" fillId="24" borderId="12" xfId="0" applyFont="1" applyFill="1" applyBorder="1" applyAlignment="1">
      <alignment horizontal="left" vertical="center" wrapText="1"/>
    </xf>
    <xf numFmtId="0" fontId="13" fillId="24" borderId="13" xfId="0" applyFont="1" applyFill="1" applyBorder="1" applyAlignment="1">
      <alignment horizontal="left" vertical="center" wrapText="1"/>
    </xf>
    <xf numFmtId="0" fontId="13" fillId="24" borderId="14" xfId="0" applyFont="1" applyFill="1" applyBorder="1" applyAlignment="1">
      <alignment horizontal="left" vertical="center" wrapText="1"/>
    </xf>
    <xf numFmtId="0" fontId="5" fillId="25" borderId="19" xfId="0" applyFont="1" applyFill="1" applyBorder="1" applyAlignment="1">
      <alignment horizontal="center" vertical="center"/>
    </xf>
    <xf numFmtId="0" fontId="5" fillId="25" borderId="20" xfId="0" applyFont="1" applyFill="1" applyBorder="1" applyAlignment="1">
      <alignment horizontal="center" vertical="center"/>
    </xf>
    <xf numFmtId="0" fontId="5" fillId="25" borderId="10" xfId="0" applyFont="1" applyFill="1" applyBorder="1" applyAlignment="1" applyProtection="1">
      <alignment horizontal="center" vertical="center"/>
      <protection locked="0"/>
    </xf>
    <xf numFmtId="0" fontId="5" fillId="25" borderId="18" xfId="0" applyFont="1" applyFill="1" applyBorder="1" applyAlignment="1" applyProtection="1">
      <alignment horizontal="center" vertical="center"/>
      <protection locked="0"/>
    </xf>
    <xf numFmtId="0" fontId="0" fillId="24" borderId="12" xfId="0" applyFill="1" applyBorder="1" applyAlignment="1">
      <alignment horizontal="center"/>
    </xf>
    <xf numFmtId="0" fontId="0" fillId="24" borderId="14" xfId="0" applyFill="1" applyBorder="1" applyAlignment="1">
      <alignment horizontal="center"/>
    </xf>
    <xf numFmtId="0" fontId="5" fillId="25" borderId="11" xfId="0" applyFont="1" applyFill="1" applyBorder="1" applyAlignment="1">
      <alignment horizontal="center" vertical="center"/>
    </xf>
    <xf numFmtId="0" fontId="5" fillId="25" borderId="10"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5" fillId="25" borderId="11" xfId="0" quotePrefix="1" applyFont="1" applyFill="1" applyBorder="1" applyAlignment="1">
      <alignment horizontal="center"/>
    </xf>
    <xf numFmtId="0" fontId="5" fillId="25" borderId="11" xfId="0" applyFont="1" applyFill="1" applyBorder="1" applyAlignment="1">
      <alignment horizontal="center"/>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164" fontId="0" fillId="0" borderId="11" xfId="1582" applyNumberFormat="1" applyFont="1" applyFill="1" applyBorder="1" applyAlignment="1" applyProtection="1">
      <alignment horizontal="center"/>
      <protection locked="0"/>
    </xf>
    <xf numFmtId="0" fontId="5" fillId="25" borderId="10" xfId="0" applyFont="1" applyFill="1" applyBorder="1" applyAlignment="1">
      <alignment horizontal="center" vertical="center"/>
    </xf>
    <xf numFmtId="0" fontId="5" fillId="25" borderId="18" xfId="0" applyFont="1" applyFill="1" applyBorder="1" applyAlignment="1">
      <alignment horizontal="center" vertical="center"/>
    </xf>
    <xf numFmtId="169" fontId="8" fillId="24" borderId="10" xfId="1700" applyNumberFormat="1" applyFont="1" applyFill="1" applyBorder="1" applyAlignment="1">
      <alignment horizontal="center" vertical="center"/>
    </xf>
    <xf numFmtId="169" fontId="8" fillId="24" borderId="18" xfId="1700" applyNumberFormat="1" applyFont="1" applyFill="1" applyBorder="1" applyAlignment="1">
      <alignment horizontal="center" vertical="center"/>
    </xf>
    <xf numFmtId="164" fontId="5" fillId="24" borderId="11" xfId="1582" applyNumberFormat="1" applyFont="1" applyFill="1" applyBorder="1" applyAlignment="1">
      <alignment horizontal="center"/>
    </xf>
    <xf numFmtId="0" fontId="11" fillId="24" borderId="15" xfId="0" applyFont="1" applyFill="1" applyBorder="1" applyAlignment="1">
      <alignment horizontal="left" vertical="center"/>
    </xf>
    <xf numFmtId="0" fontId="11" fillId="24" borderId="16" xfId="0" applyFont="1" applyFill="1" applyBorder="1" applyAlignment="1">
      <alignment horizontal="left" vertical="center"/>
    </xf>
    <xf numFmtId="0" fontId="11" fillId="24" borderId="19" xfId="0" applyFont="1" applyFill="1" applyBorder="1" applyAlignment="1">
      <alignment horizontal="left" vertical="center"/>
    </xf>
    <xf numFmtId="0" fontId="11" fillId="24" borderId="23" xfId="0" applyFont="1" applyFill="1" applyBorder="1" applyAlignment="1">
      <alignment horizontal="left" vertical="center"/>
    </xf>
    <xf numFmtId="0" fontId="11" fillId="24" borderId="16" xfId="0" quotePrefix="1" applyFont="1" applyFill="1" applyBorder="1" applyAlignment="1">
      <alignment horizontal="left" vertical="center"/>
    </xf>
    <xf numFmtId="0" fontId="0" fillId="24" borderId="16" xfId="0" applyFill="1" applyBorder="1" applyAlignment="1">
      <alignment vertical="center"/>
    </xf>
    <xf numFmtId="0" fontId="0" fillId="24" borderId="17" xfId="0" applyFill="1" applyBorder="1" applyAlignment="1">
      <alignment vertical="center"/>
    </xf>
    <xf numFmtId="0" fontId="0" fillId="24" borderId="23" xfId="0" applyFill="1" applyBorder="1" applyAlignment="1">
      <alignment vertical="center"/>
    </xf>
    <xf numFmtId="0" fontId="0" fillId="24" borderId="20" xfId="0" applyFill="1" applyBorder="1" applyAlignment="1">
      <alignment vertical="center"/>
    </xf>
    <xf numFmtId="169" fontId="8" fillId="24" borderId="24" xfId="1700" applyNumberFormat="1" applyFont="1" applyFill="1" applyBorder="1" applyAlignment="1">
      <alignment horizontal="center" vertical="center"/>
    </xf>
    <xf numFmtId="0" fontId="5" fillId="25" borderId="11" xfId="0" applyFont="1" applyFill="1" applyBorder="1" applyAlignment="1">
      <alignment horizontal="center" vertical="center" wrapText="1"/>
    </xf>
    <xf numFmtId="164" fontId="8" fillId="0" borderId="11" xfId="1582" applyNumberFormat="1" applyFont="1" applyFill="1" applyBorder="1" applyAlignment="1" applyProtection="1">
      <alignment horizontal="center"/>
      <protection locked="0"/>
    </xf>
    <xf numFmtId="0" fontId="5" fillId="25" borderId="16" xfId="0" applyFont="1" applyFill="1" applyBorder="1" applyAlignment="1">
      <alignment horizontal="center" vertical="center"/>
    </xf>
    <xf numFmtId="0" fontId="5" fillId="25" borderId="23" xfId="0" applyFont="1" applyFill="1" applyBorder="1" applyAlignment="1">
      <alignment horizontal="center" vertical="center"/>
    </xf>
    <xf numFmtId="0" fontId="0" fillId="25" borderId="15" xfId="0" applyFill="1" applyBorder="1" applyAlignment="1">
      <alignment horizontal="center"/>
    </xf>
    <xf numFmtId="0" fontId="0" fillId="25" borderId="16" xfId="0" applyFill="1" applyBorder="1" applyAlignment="1">
      <alignment horizontal="center"/>
    </xf>
    <xf numFmtId="0" fontId="0" fillId="25" borderId="17" xfId="0"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5" xfId="0" applyFont="1" applyFill="1" applyBorder="1" applyAlignment="1">
      <alignment horizontal="center"/>
    </xf>
    <xf numFmtId="0" fontId="5" fillId="25" borderId="16" xfId="0" applyFont="1" applyFill="1" applyBorder="1" applyAlignment="1">
      <alignment horizontal="center"/>
    </xf>
    <xf numFmtId="0" fontId="5" fillId="25" borderId="17" xfId="0" applyFont="1" applyFill="1" applyBorder="1" applyAlignment="1">
      <alignment horizontal="center"/>
    </xf>
    <xf numFmtId="0" fontId="0" fillId="0" borderId="11" xfId="0" applyBorder="1" applyAlignment="1" applyProtection="1">
      <alignment horizontal="center"/>
      <protection locked="0"/>
    </xf>
    <xf numFmtId="0" fontId="0" fillId="24" borderId="22" xfId="0" applyFill="1" applyBorder="1" applyAlignment="1">
      <alignment horizontal="center" vertical="center"/>
    </xf>
    <xf numFmtId="0" fontId="0" fillId="24" borderId="21" xfId="0" applyFill="1" applyBorder="1" applyAlignment="1">
      <alignment horizontal="center" vertical="center"/>
    </xf>
    <xf numFmtId="0" fontId="5" fillId="25" borderId="10" xfId="0" quotePrefix="1" applyFont="1" applyFill="1" applyBorder="1" applyAlignment="1" applyProtection="1">
      <alignment horizontal="center" vertical="center"/>
      <protection locked="0"/>
    </xf>
    <xf numFmtId="0" fontId="5" fillId="25" borderId="12" xfId="0" quotePrefix="1" applyFont="1" applyFill="1" applyBorder="1" applyAlignment="1">
      <alignment horizontal="center"/>
    </xf>
    <xf numFmtId="0" fontId="5" fillId="25" borderId="13" xfId="0" quotePrefix="1" applyFont="1" applyFill="1" applyBorder="1" applyAlignment="1">
      <alignment horizontal="center"/>
    </xf>
    <xf numFmtId="0" fontId="5" fillId="25" borderId="14" xfId="0" quotePrefix="1" applyFont="1" applyFill="1" applyBorder="1" applyAlignment="1">
      <alignment horizontal="center"/>
    </xf>
    <xf numFmtId="0" fontId="5" fillId="25" borderId="10" xfId="0" quotePrefix="1" applyFont="1" applyFill="1" applyBorder="1" applyAlignment="1">
      <alignment horizontal="center" vertical="center"/>
    </xf>
    <xf numFmtId="169" fontId="8" fillId="26" borderId="22" xfId="1700" applyNumberFormat="1" applyFont="1" applyFill="1" applyBorder="1" applyAlignment="1">
      <alignment horizontal="left" vertical="center" wrapText="1"/>
    </xf>
    <xf numFmtId="169" fontId="8" fillId="26" borderId="0" xfId="1700" applyNumberFormat="1" applyFont="1" applyFill="1" applyAlignment="1">
      <alignment horizontal="left" vertical="center" wrapText="1"/>
    </xf>
    <xf numFmtId="0" fontId="5" fillId="25" borderId="15" xfId="2841" applyFont="1" applyFill="1" applyBorder="1" applyAlignment="1">
      <alignment horizontal="center" vertical="center"/>
    </xf>
    <xf numFmtId="0" fontId="5" fillId="25" borderId="16" xfId="2841" applyFont="1" applyFill="1" applyBorder="1" applyAlignment="1">
      <alignment horizontal="center" vertical="center"/>
    </xf>
    <xf numFmtId="0" fontId="5" fillId="25" borderId="17" xfId="2841" applyFont="1" applyFill="1" applyBorder="1" applyAlignment="1">
      <alignment horizontal="center" vertical="center"/>
    </xf>
    <xf numFmtId="0" fontId="5" fillId="25" borderId="12" xfId="2841" applyFont="1" applyFill="1" applyBorder="1" applyAlignment="1">
      <alignment horizontal="center" vertical="center" wrapText="1"/>
    </xf>
    <xf numFmtId="0" fontId="5" fillId="25" borderId="13" xfId="2841" applyFont="1" applyFill="1" applyBorder="1" applyAlignment="1">
      <alignment horizontal="center" vertical="center" wrapText="1"/>
    </xf>
    <xf numFmtId="0" fontId="5" fillId="25" borderId="14" xfId="2841" applyFont="1" applyFill="1" applyBorder="1" applyAlignment="1">
      <alignment horizontal="center" vertical="center" wrapText="1"/>
    </xf>
    <xf numFmtId="0" fontId="51" fillId="27" borderId="12" xfId="2842" applyFill="1" applyBorder="1" applyAlignment="1" applyProtection="1">
      <alignment horizontal="center"/>
      <protection locked="0"/>
    </xf>
    <xf numFmtId="0" fontId="51" fillId="27" borderId="14" xfId="2842" applyFill="1" applyBorder="1" applyAlignment="1" applyProtection="1">
      <alignment horizontal="center"/>
      <protection locked="0"/>
    </xf>
    <xf numFmtId="0" fontId="5" fillId="25" borderId="12" xfId="2777" applyFont="1" applyFill="1" applyBorder="1" applyAlignment="1">
      <alignment horizontal="center"/>
    </xf>
    <xf numFmtId="0" fontId="5" fillId="25" borderId="13" xfId="2777" applyFont="1" applyFill="1" applyBorder="1" applyAlignment="1">
      <alignment horizontal="center"/>
    </xf>
    <xf numFmtId="0" fontId="5" fillId="25" borderId="14" xfId="2777" applyFont="1" applyFill="1" applyBorder="1" applyAlignment="1">
      <alignment horizontal="center"/>
    </xf>
    <xf numFmtId="0" fontId="0" fillId="25" borderId="14" xfId="0" applyFill="1" applyBorder="1" applyAlignment="1">
      <alignment horizontal="center"/>
    </xf>
    <xf numFmtId="0" fontId="7" fillId="26" borderId="0" xfId="0" applyFont="1" applyFill="1" applyAlignment="1">
      <alignment horizontal="left" vertical="center" wrapText="1"/>
    </xf>
    <xf numFmtId="0" fontId="0" fillId="25" borderId="14" xfId="0" applyFill="1" applyBorder="1"/>
    <xf numFmtId="0" fontId="0" fillId="25" borderId="12" xfId="0" applyFill="1" applyBorder="1" applyAlignment="1">
      <alignment horizontal="center"/>
    </xf>
    <xf numFmtId="0" fontId="0" fillId="25" borderId="13" xfId="0" applyFill="1" applyBorder="1" applyAlignment="1">
      <alignment horizontal="center"/>
    </xf>
    <xf numFmtId="0" fontId="3" fillId="24" borderId="12" xfId="0" applyFont="1" applyFill="1" applyBorder="1" applyAlignment="1">
      <alignment horizontal="center"/>
    </xf>
    <xf numFmtId="0" fontId="3" fillId="24" borderId="14" xfId="0" applyFont="1" applyFill="1" applyBorder="1" applyAlignment="1">
      <alignment horizontal="center"/>
    </xf>
    <xf numFmtId="0" fontId="0" fillId="24" borderId="15" xfId="0" applyFill="1" applyBorder="1" applyAlignment="1">
      <alignment horizontal="center"/>
    </xf>
    <xf numFmtId="0" fontId="0" fillId="24" borderId="16" xfId="0" applyFill="1" applyBorder="1" applyAlignment="1">
      <alignment horizontal="center"/>
    </xf>
    <xf numFmtId="0" fontId="0" fillId="24" borderId="19" xfId="0" applyFill="1" applyBorder="1" applyAlignment="1">
      <alignment horizontal="left"/>
    </xf>
    <xf numFmtId="0" fontId="0" fillId="24" borderId="23" xfId="0" applyFill="1" applyBorder="1" applyAlignment="1">
      <alignment horizontal="left"/>
    </xf>
    <xf numFmtId="0" fontId="5" fillId="25" borderId="19" xfId="0" quotePrefix="1" applyFont="1" applyFill="1" applyBorder="1" applyAlignment="1">
      <alignment horizontal="center"/>
    </xf>
    <xf numFmtId="0" fontId="5" fillId="25" borderId="20" xfId="0" applyFont="1" applyFill="1" applyBorder="1" applyAlignment="1">
      <alignment horizontal="center"/>
    </xf>
    <xf numFmtId="0" fontId="5" fillId="25" borderId="15" xfId="0" quotePrefix="1" applyFont="1" applyFill="1" applyBorder="1" applyAlignment="1">
      <alignment horizontal="center" vertical="center"/>
    </xf>
    <xf numFmtId="0" fontId="5" fillId="25" borderId="17" xfId="0" quotePrefix="1" applyFont="1" applyFill="1" applyBorder="1" applyAlignment="1">
      <alignment horizontal="center" vertical="center"/>
    </xf>
    <xf numFmtId="0" fontId="5" fillId="25" borderId="19" xfId="0" quotePrefix="1" applyFont="1" applyFill="1" applyBorder="1" applyAlignment="1">
      <alignment horizontal="center" vertical="center"/>
    </xf>
    <xf numFmtId="0" fontId="5" fillId="25" borderId="20" xfId="0" quotePrefix="1" applyFont="1" applyFill="1" applyBorder="1" applyAlignment="1">
      <alignment horizontal="center" vertical="center"/>
    </xf>
    <xf numFmtId="0" fontId="5" fillId="25" borderId="12" xfId="0" quotePrefix="1" applyFont="1" applyFill="1" applyBorder="1" applyAlignment="1">
      <alignment horizontal="center" vertical="center"/>
    </xf>
    <xf numFmtId="0" fontId="5" fillId="25" borderId="13" xfId="0" quotePrefix="1" applyFont="1" applyFill="1" applyBorder="1" applyAlignment="1">
      <alignment horizontal="center" vertical="center"/>
    </xf>
    <xf numFmtId="0" fontId="5" fillId="25" borderId="14" xfId="0" quotePrefix="1" applyFont="1" applyFill="1" applyBorder="1" applyAlignment="1">
      <alignment horizontal="center" vertical="center"/>
    </xf>
    <xf numFmtId="0" fontId="5" fillId="25" borderId="22" xfId="0" applyFont="1" applyFill="1" applyBorder="1" applyAlignment="1">
      <alignment horizontal="center" vertical="center" wrapText="1"/>
    </xf>
    <xf numFmtId="0" fontId="5" fillId="25" borderId="0" xfId="0" applyFont="1" applyFill="1" applyAlignment="1">
      <alignment horizontal="center" vertical="center" wrapText="1"/>
    </xf>
    <xf numFmtId="0" fontId="5" fillId="25" borderId="21" xfId="0" applyFont="1" applyFill="1" applyBorder="1" applyAlignment="1">
      <alignment horizontal="center" vertical="center" wrapText="1"/>
    </xf>
    <xf numFmtId="0" fontId="0" fillId="24" borderId="13" xfId="0" applyFill="1" applyBorder="1" applyAlignment="1">
      <alignment horizontal="center"/>
    </xf>
    <xf numFmtId="0" fontId="7" fillId="26" borderId="0" xfId="0" quotePrefix="1" applyFont="1" applyFill="1" applyAlignment="1">
      <alignment horizontal="left" vertical="center" wrapText="1"/>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8" fillId="26" borderId="0" xfId="0" quotePrefix="1" applyFont="1" applyFill="1" applyAlignment="1">
      <alignment vertical="center" wrapText="1"/>
    </xf>
    <xf numFmtId="17" fontId="5" fillId="25" borderId="12" xfId="0" applyNumberFormat="1" applyFont="1" applyFill="1" applyBorder="1" applyAlignment="1">
      <alignment horizontal="center" vertical="center" wrapText="1"/>
    </xf>
    <xf numFmtId="17" fontId="5" fillId="25" borderId="13" xfId="0" applyNumberFormat="1" applyFont="1" applyFill="1" applyBorder="1" applyAlignment="1">
      <alignment horizontal="center" vertical="center" wrapText="1"/>
    </xf>
    <xf numFmtId="17" fontId="5" fillId="25" borderId="14" xfId="0" applyNumberFormat="1" applyFont="1" applyFill="1" applyBorder="1" applyAlignment="1">
      <alignment horizontal="center" vertical="center" wrapText="1"/>
    </xf>
    <xf numFmtId="0" fontId="8" fillId="24" borderId="12" xfId="0" applyFont="1" applyFill="1" applyBorder="1" applyAlignment="1">
      <alignment horizontal="left" vertical="top" wrapText="1"/>
    </xf>
    <xf numFmtId="0" fontId="8" fillId="24" borderId="13" xfId="0" applyFont="1" applyFill="1" applyBorder="1" applyAlignment="1">
      <alignment horizontal="left" vertical="top" wrapText="1"/>
    </xf>
    <xf numFmtId="0" fontId="8" fillId="24" borderId="14" xfId="0" applyFont="1" applyFill="1" applyBorder="1" applyAlignment="1">
      <alignment horizontal="left" vertical="top" wrapText="1"/>
    </xf>
    <xf numFmtId="17" fontId="5" fillId="25" borderId="15" xfId="0" applyNumberFormat="1" applyFont="1" applyFill="1" applyBorder="1" applyAlignment="1">
      <alignment horizontal="center" vertical="center" wrapText="1"/>
    </xf>
    <xf numFmtId="17" fontId="5" fillId="25" borderId="16" xfId="0" applyNumberFormat="1" applyFont="1" applyFill="1" applyBorder="1" applyAlignment="1">
      <alignment horizontal="center" vertical="center" wrapText="1"/>
    </xf>
    <xf numFmtId="17" fontId="5" fillId="25" borderId="17" xfId="0" applyNumberFormat="1" applyFont="1" applyFill="1" applyBorder="1" applyAlignment="1">
      <alignment horizontal="center" vertical="center" wrapText="1"/>
    </xf>
    <xf numFmtId="17" fontId="8" fillId="25" borderId="12" xfId="0" applyNumberFormat="1" applyFont="1" applyFill="1" applyBorder="1" applyAlignment="1">
      <alignment horizontal="center" vertical="center" wrapText="1"/>
    </xf>
    <xf numFmtId="17" fontId="8" fillId="25" borderId="13" xfId="0" applyNumberFormat="1" applyFont="1" applyFill="1" applyBorder="1" applyAlignment="1">
      <alignment horizontal="center" vertical="center" wrapText="1"/>
    </xf>
    <xf numFmtId="17" fontId="8" fillId="25" borderId="14" xfId="0" applyNumberFormat="1" applyFont="1" applyFill="1" applyBorder="1" applyAlignment="1">
      <alignment horizontal="center" vertical="center" wrapText="1"/>
    </xf>
    <xf numFmtId="17" fontId="8" fillId="25" borderId="10" xfId="0" applyNumberFormat="1" applyFont="1" applyFill="1" applyBorder="1" applyAlignment="1">
      <alignment horizontal="center" vertical="center" wrapText="1"/>
    </xf>
    <xf numFmtId="17" fontId="8" fillId="25" borderId="18" xfId="0" applyNumberFormat="1" applyFont="1" applyFill="1" applyBorder="1" applyAlignment="1">
      <alignment horizontal="center" vertical="center" wrapText="1"/>
    </xf>
    <xf numFmtId="17" fontId="8" fillId="25" borderId="12" xfId="0" quotePrefix="1" applyNumberFormat="1" applyFont="1" applyFill="1" applyBorder="1" applyAlignment="1">
      <alignment horizontal="center" vertical="center" wrapText="1"/>
    </xf>
    <xf numFmtId="0" fontId="5" fillId="25" borderId="19"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8" fillId="25" borderId="15" xfId="0" applyFont="1" applyFill="1" applyBorder="1" applyAlignment="1">
      <alignment horizontal="center" vertical="center" wrapText="1"/>
    </xf>
    <xf numFmtId="0" fontId="8" fillId="25" borderId="17" xfId="0" applyFont="1" applyFill="1" applyBorder="1" applyAlignment="1">
      <alignment horizontal="center" vertical="center" wrapText="1"/>
    </xf>
    <xf numFmtId="0" fontId="8" fillId="25" borderId="19" xfId="0" applyFont="1" applyFill="1" applyBorder="1" applyAlignment="1">
      <alignment horizontal="center" vertical="center" wrapText="1"/>
    </xf>
    <xf numFmtId="0" fontId="8" fillId="25" borderId="20" xfId="0" applyFont="1" applyFill="1" applyBorder="1" applyAlignment="1">
      <alignment horizontal="center" vertical="center" wrapText="1"/>
    </xf>
    <xf numFmtId="0" fontId="8" fillId="25" borderId="12" xfId="0" applyFont="1" applyFill="1" applyBorder="1" applyAlignment="1">
      <alignment horizontal="center" vertical="center" wrapText="1"/>
    </xf>
    <xf numFmtId="0" fontId="8" fillId="25" borderId="13" xfId="0" applyFont="1" applyFill="1" applyBorder="1" applyAlignment="1">
      <alignment horizontal="center" vertical="center" wrapText="1"/>
    </xf>
    <xf numFmtId="0" fontId="8" fillId="25" borderId="14" xfId="0" applyFont="1" applyFill="1" applyBorder="1" applyAlignment="1">
      <alignment horizontal="center" vertical="center" wrapText="1"/>
    </xf>
    <xf numFmtId="0" fontId="8" fillId="25" borderId="22" xfId="0" applyFont="1" applyFill="1" applyBorder="1" applyAlignment="1">
      <alignment horizontal="center" vertical="center" wrapText="1"/>
    </xf>
    <xf numFmtId="0" fontId="8" fillId="25" borderId="21" xfId="0" applyFont="1" applyFill="1" applyBorder="1" applyAlignment="1">
      <alignment horizontal="center" vertical="center" wrapText="1"/>
    </xf>
    <xf numFmtId="172" fontId="3" fillId="0" borderId="12" xfId="2695" quotePrefix="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0" fillId="0" borderId="11" xfId="0" applyBorder="1" applyAlignment="1">
      <alignment horizontal="left" vertical="top" wrapText="1"/>
    </xf>
    <xf numFmtId="0" fontId="0" fillId="0" borderId="11" xfId="0" applyBorder="1" applyAlignment="1">
      <alignment vertical="top" wrapText="1"/>
    </xf>
    <xf numFmtId="0" fontId="0" fillId="0" borderId="12" xfId="0" applyBorder="1" applyAlignment="1">
      <alignment horizontal="left" vertical="top" wrapText="1"/>
    </xf>
    <xf numFmtId="0" fontId="0" fillId="0" borderId="13" xfId="0" quotePrefix="1" applyBorder="1" applyAlignment="1">
      <alignment horizontal="left" vertical="top" wrapText="1"/>
    </xf>
    <xf numFmtId="0" fontId="0" fillId="0" borderId="14" xfId="0" quotePrefix="1" applyBorder="1" applyAlignment="1">
      <alignment horizontal="left" vertical="top" wrapText="1"/>
    </xf>
    <xf numFmtId="0" fontId="0" fillId="0" borderId="11" xfId="0" quotePrefix="1" applyBorder="1" applyAlignment="1">
      <alignment horizontal="left" vertical="top" wrapText="1"/>
    </xf>
    <xf numFmtId="0" fontId="3" fillId="0" borderId="11" xfId="2182" quotePrefix="1" applyBorder="1" applyAlignment="1">
      <alignment horizontal="left" vertical="top" wrapText="1"/>
    </xf>
    <xf numFmtId="0" fontId="3" fillId="0" borderId="11" xfId="2182" applyBorder="1" applyAlignment="1">
      <alignment vertical="top" wrapText="1"/>
    </xf>
    <xf numFmtId="0" fontId="3" fillId="0" borderId="11" xfId="2693" quotePrefix="1" applyBorder="1" applyAlignment="1">
      <alignment horizontal="left" vertical="top" wrapText="1"/>
    </xf>
    <xf numFmtId="0" fontId="3" fillId="0" borderId="11" xfId="2693" applyBorder="1" applyAlignment="1">
      <alignment vertical="top" wrapText="1"/>
    </xf>
    <xf numFmtId="172" fontId="3" fillId="0" borderId="11" xfId="2697" quotePrefix="1" applyBorder="1" applyAlignment="1">
      <alignment horizontal="left" vertical="top" wrapText="1"/>
    </xf>
    <xf numFmtId="172" fontId="3" fillId="0" borderId="11" xfId="2697" applyBorder="1" applyAlignment="1">
      <alignment vertical="top" wrapText="1"/>
    </xf>
    <xf numFmtId="0" fontId="3" fillId="0" borderId="11" xfId="2692" quotePrefix="1" applyBorder="1" applyAlignment="1">
      <alignment horizontal="left" vertical="top" wrapText="1"/>
    </xf>
    <xf numFmtId="0" fontId="3" fillId="0" borderId="11" xfId="2692" applyBorder="1" applyAlignment="1">
      <alignment vertical="top" wrapText="1"/>
    </xf>
    <xf numFmtId="0" fontId="3" fillId="0" borderId="11" xfId="0" applyFont="1" applyBorder="1" applyAlignment="1">
      <alignment horizontal="left" vertical="top" wrapText="1"/>
    </xf>
    <xf numFmtId="0" fontId="8" fillId="0" borderId="12" xfId="2724" applyBorder="1" applyAlignment="1">
      <alignment horizontal="left" vertical="top" wrapText="1"/>
    </xf>
    <xf numFmtId="0" fontId="8" fillId="0" borderId="13" xfId="2724" applyBorder="1" applyAlignment="1">
      <alignment vertical="top" wrapText="1"/>
    </xf>
    <xf numFmtId="0" fontId="8" fillId="0" borderId="14" xfId="2724" applyBorder="1" applyAlignment="1">
      <alignment vertical="top" wrapText="1"/>
    </xf>
    <xf numFmtId="172" fontId="3" fillId="0" borderId="11" xfId="2695" quotePrefix="1" applyBorder="1" applyAlignment="1">
      <alignment horizontal="left" vertical="top" wrapText="1"/>
    </xf>
    <xf numFmtId="172" fontId="3" fillId="0" borderId="11" xfId="2695" applyBorder="1" applyAlignment="1">
      <alignment vertical="top" wrapText="1"/>
    </xf>
    <xf numFmtId="172" fontId="3" fillId="0" borderId="11" xfId="2181" quotePrefix="1" applyBorder="1" applyAlignment="1">
      <alignment horizontal="left" vertical="top" wrapText="1"/>
    </xf>
    <xf numFmtId="172" fontId="3" fillId="0" borderId="11" xfId="2181" applyBorder="1" applyAlignment="1">
      <alignment vertical="top" wrapText="1"/>
    </xf>
    <xf numFmtId="172" fontId="3" fillId="0" borderId="12" xfId="2181" quotePrefix="1" applyBorder="1" applyAlignment="1">
      <alignment horizontal="left" vertical="top" wrapText="1"/>
    </xf>
    <xf numFmtId="172" fontId="3" fillId="0" borderId="11" xfId="2243" quotePrefix="1" applyBorder="1" applyAlignment="1">
      <alignment horizontal="left" vertical="top" wrapText="1"/>
    </xf>
    <xf numFmtId="172" fontId="3" fillId="0" borderId="11" xfId="2243" applyBorder="1" applyAlignment="1">
      <alignment vertical="top" wrapText="1"/>
    </xf>
  </cellXfs>
  <cellStyles count="3132">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4" xfId="15" xr:uid="{00000000-0005-0000-0000-00000E000000}"/>
    <cellStyle name="20% - Accent1 2 3 5" xfId="16" xr:uid="{00000000-0005-0000-0000-00000F000000}"/>
    <cellStyle name="20% - Accent1 2 3 6" xfId="17" xr:uid="{00000000-0005-0000-0000-000010000000}"/>
    <cellStyle name="20% - Accent1 2 4" xfId="18" xr:uid="{00000000-0005-0000-0000-000011000000}"/>
    <cellStyle name="20% - Accent1 2 4 2" xfId="19" xr:uid="{00000000-0005-0000-0000-000012000000}"/>
    <cellStyle name="20% - Accent1 2 4 3" xfId="20" xr:uid="{00000000-0005-0000-0000-000013000000}"/>
    <cellStyle name="20% - Accent1 2 4 4" xfId="21" xr:uid="{00000000-0005-0000-0000-000014000000}"/>
    <cellStyle name="20% - Accent1 2 4 5" xfId="22" xr:uid="{00000000-0005-0000-0000-000015000000}"/>
    <cellStyle name="20% - Accent1 2 5" xfId="23" xr:uid="{00000000-0005-0000-0000-000016000000}"/>
    <cellStyle name="20% - Accent1 2 5 2" xfId="24" xr:uid="{00000000-0005-0000-0000-000017000000}"/>
    <cellStyle name="20% - Accent1 2 5 3" xfId="25" xr:uid="{00000000-0005-0000-0000-000018000000}"/>
    <cellStyle name="20% - Accent1 2 6" xfId="26" xr:uid="{00000000-0005-0000-0000-000019000000}"/>
    <cellStyle name="20% - Accent1 3" xfId="27" xr:uid="{00000000-0005-0000-0000-00001A000000}"/>
    <cellStyle name="20% - Accent1 3 2" xfId="28" xr:uid="{00000000-0005-0000-0000-00001B000000}"/>
    <cellStyle name="20% - Accent1 3 3" xfId="29" xr:uid="{00000000-0005-0000-0000-00001C000000}"/>
    <cellStyle name="20% - Accent1 3 4" xfId="30" xr:uid="{00000000-0005-0000-0000-00001D000000}"/>
    <cellStyle name="20% - Accent1 3 5" xfId="31" xr:uid="{00000000-0005-0000-0000-00001E000000}"/>
    <cellStyle name="20% - Accent1 4" xfId="32" xr:uid="{00000000-0005-0000-0000-00001F000000}"/>
    <cellStyle name="20% - Accent1 4 2" xfId="33" xr:uid="{00000000-0005-0000-0000-000020000000}"/>
    <cellStyle name="20% - Accent1 4 2 2" xfId="34" xr:uid="{00000000-0005-0000-0000-000021000000}"/>
    <cellStyle name="20% - Accent1 4 2 3" xfId="35" xr:uid="{00000000-0005-0000-0000-000022000000}"/>
    <cellStyle name="20% - Accent1 4 2 4" xfId="36" xr:uid="{00000000-0005-0000-0000-000023000000}"/>
    <cellStyle name="20% - Accent1 4 3" xfId="37" xr:uid="{00000000-0005-0000-0000-000024000000}"/>
    <cellStyle name="20% - Accent1 4 3 2" xfId="38" xr:uid="{00000000-0005-0000-0000-000025000000}"/>
    <cellStyle name="20% - Accent1 4 3 3" xfId="39" xr:uid="{00000000-0005-0000-0000-000026000000}"/>
    <cellStyle name="20% - Accent1 4 3 4" xfId="40" xr:uid="{00000000-0005-0000-0000-000027000000}"/>
    <cellStyle name="20% - Accent1 4 4" xfId="41" xr:uid="{00000000-0005-0000-0000-000028000000}"/>
    <cellStyle name="20% - Accent1 5" xfId="42" xr:uid="{00000000-0005-0000-0000-000029000000}"/>
    <cellStyle name="20% - Accent1 5 2" xfId="43" xr:uid="{00000000-0005-0000-0000-00002A000000}"/>
    <cellStyle name="20% - Accent1 5 2 2" xfId="44" xr:uid="{00000000-0005-0000-0000-00002B000000}"/>
    <cellStyle name="20% - Accent1 5 2 3" xfId="45" xr:uid="{00000000-0005-0000-0000-00002C000000}"/>
    <cellStyle name="20% - Accent1 5 3" xfId="46" xr:uid="{00000000-0005-0000-0000-00002D000000}"/>
    <cellStyle name="20% - Accent1 5 3 2" xfId="47" xr:uid="{00000000-0005-0000-0000-00002E000000}"/>
    <cellStyle name="20% - Accent1 5 3 3" xfId="48" xr:uid="{00000000-0005-0000-0000-00002F000000}"/>
    <cellStyle name="20% - Accent1 5 4" xfId="49" xr:uid="{00000000-0005-0000-0000-000030000000}"/>
    <cellStyle name="20% - Accent1 5 4 2" xfId="50" xr:uid="{00000000-0005-0000-0000-000031000000}"/>
    <cellStyle name="20% - Accent1 5 4 2 2" xfId="51" xr:uid="{00000000-0005-0000-0000-000032000000}"/>
    <cellStyle name="20% - Accent1 5 4 3" xfId="52" xr:uid="{00000000-0005-0000-0000-000033000000}"/>
    <cellStyle name="20% - Accent1 5 4 3 2" xfId="53" xr:uid="{00000000-0005-0000-0000-000034000000}"/>
    <cellStyle name="20% - Accent1 6" xfId="54" xr:uid="{00000000-0005-0000-0000-000035000000}"/>
    <cellStyle name="20% - Accent1 6 2" xfId="55" xr:uid="{00000000-0005-0000-0000-000036000000}"/>
    <cellStyle name="20% - Accent1 6 3" xfId="56" xr:uid="{00000000-0005-0000-0000-000037000000}"/>
    <cellStyle name="20% - Accent1 6 4" xfId="57" xr:uid="{00000000-0005-0000-0000-000038000000}"/>
    <cellStyle name="20% - Accent1 7" xfId="58" xr:uid="{00000000-0005-0000-0000-000039000000}"/>
    <cellStyle name="20% - Accent1 7 2" xfId="59" xr:uid="{00000000-0005-0000-0000-00003A000000}"/>
    <cellStyle name="20% - Accent1 7 3" xfId="60" xr:uid="{00000000-0005-0000-0000-00003B000000}"/>
    <cellStyle name="20% - Accent1 8" xfId="61" xr:uid="{00000000-0005-0000-0000-00003C000000}"/>
    <cellStyle name="20% - Accent1 8 2" xfId="62" xr:uid="{00000000-0005-0000-0000-00003D000000}"/>
    <cellStyle name="20% - Accent1 9" xfId="63" xr:uid="{00000000-0005-0000-0000-00003E000000}"/>
    <cellStyle name="20% - Accent1 9 2" xfId="64" xr:uid="{00000000-0005-0000-0000-00003F000000}"/>
    <cellStyle name="20% - Accent1 9 3" xfId="65" xr:uid="{00000000-0005-0000-0000-000040000000}"/>
    <cellStyle name="20% - Accent1 9 3 2" xfId="66" xr:uid="{00000000-0005-0000-0000-000041000000}"/>
    <cellStyle name="20% - Accent1 9 4" xfId="67" xr:uid="{00000000-0005-0000-0000-000042000000}"/>
    <cellStyle name="20% - Accent1 9 4 2" xfId="68" xr:uid="{00000000-0005-0000-0000-000043000000}"/>
    <cellStyle name="20% - Accent2" xfId="69" builtinId="34" customBuiltin="1"/>
    <cellStyle name="20% - Accent2 10" xfId="70" xr:uid="{00000000-0005-0000-0000-000045000000}"/>
    <cellStyle name="20% - Accent2 11" xfId="71" xr:uid="{00000000-0005-0000-0000-000046000000}"/>
    <cellStyle name="20% - Accent2 12" xfId="72" xr:uid="{00000000-0005-0000-0000-000047000000}"/>
    <cellStyle name="20% - Accent2 13" xfId="73" xr:uid="{00000000-0005-0000-0000-000048000000}"/>
    <cellStyle name="20% - Accent2 14" xfId="74" xr:uid="{00000000-0005-0000-0000-000049000000}"/>
    <cellStyle name="20% - Accent2 15" xfId="75" xr:uid="{00000000-0005-0000-0000-00004A000000}"/>
    <cellStyle name="20% - Accent2 2" xfId="76" xr:uid="{00000000-0005-0000-0000-00004B000000}"/>
    <cellStyle name="20% - Accent2 2 2" xfId="77" xr:uid="{00000000-0005-0000-0000-00004C000000}"/>
    <cellStyle name="20% - Accent2 2 2 2" xfId="78" xr:uid="{00000000-0005-0000-0000-00004D000000}"/>
    <cellStyle name="20% - Accent2 2 3" xfId="79" xr:uid="{00000000-0005-0000-0000-00004E000000}"/>
    <cellStyle name="20% - Accent2 2 3 2" xfId="80" xr:uid="{00000000-0005-0000-0000-00004F000000}"/>
    <cellStyle name="20% - Accent2 2 3 2 2" xfId="81" xr:uid="{00000000-0005-0000-0000-000050000000}"/>
    <cellStyle name="20% - Accent2 2 3 3" xfId="82" xr:uid="{00000000-0005-0000-0000-000051000000}"/>
    <cellStyle name="20% - Accent2 2 3 4" xfId="83" xr:uid="{00000000-0005-0000-0000-000052000000}"/>
    <cellStyle name="20% - Accent2 2 3 5" xfId="84" xr:uid="{00000000-0005-0000-0000-000053000000}"/>
    <cellStyle name="20% - Accent2 2 3 6" xfId="85" xr:uid="{00000000-0005-0000-0000-000054000000}"/>
    <cellStyle name="20% - Accent2 2 4" xfId="86" xr:uid="{00000000-0005-0000-0000-000055000000}"/>
    <cellStyle name="20% - Accent2 2 4 2" xfId="87" xr:uid="{00000000-0005-0000-0000-000056000000}"/>
    <cellStyle name="20% - Accent2 2 4 3" xfId="88" xr:uid="{00000000-0005-0000-0000-000057000000}"/>
    <cellStyle name="20% - Accent2 2 4 4" xfId="89" xr:uid="{00000000-0005-0000-0000-000058000000}"/>
    <cellStyle name="20% - Accent2 2 4 5" xfId="90" xr:uid="{00000000-0005-0000-0000-000059000000}"/>
    <cellStyle name="20% - Accent2 2 5" xfId="91" xr:uid="{00000000-0005-0000-0000-00005A000000}"/>
    <cellStyle name="20% - Accent2 2 5 2" xfId="92" xr:uid="{00000000-0005-0000-0000-00005B000000}"/>
    <cellStyle name="20% - Accent2 2 5 3" xfId="93" xr:uid="{00000000-0005-0000-0000-00005C000000}"/>
    <cellStyle name="20% - Accent2 2 6" xfId="94" xr:uid="{00000000-0005-0000-0000-00005D000000}"/>
    <cellStyle name="20% - Accent2 3" xfId="95" xr:uid="{00000000-0005-0000-0000-00005E000000}"/>
    <cellStyle name="20% - Accent2 3 2" xfId="96" xr:uid="{00000000-0005-0000-0000-00005F000000}"/>
    <cellStyle name="20% - Accent2 3 3" xfId="97" xr:uid="{00000000-0005-0000-0000-000060000000}"/>
    <cellStyle name="20% - Accent2 3 4" xfId="98" xr:uid="{00000000-0005-0000-0000-000061000000}"/>
    <cellStyle name="20% - Accent2 3 5" xfId="99" xr:uid="{00000000-0005-0000-0000-000062000000}"/>
    <cellStyle name="20% - Accent2 4" xfId="100" xr:uid="{00000000-0005-0000-0000-000063000000}"/>
    <cellStyle name="20% - Accent2 4 2" xfId="101" xr:uid="{00000000-0005-0000-0000-000064000000}"/>
    <cellStyle name="20% - Accent2 4 2 2" xfId="102" xr:uid="{00000000-0005-0000-0000-000065000000}"/>
    <cellStyle name="20% - Accent2 4 2 3" xfId="103" xr:uid="{00000000-0005-0000-0000-000066000000}"/>
    <cellStyle name="20% - Accent2 4 2 4" xfId="104" xr:uid="{00000000-0005-0000-0000-000067000000}"/>
    <cellStyle name="20% - Accent2 4 3" xfId="105" xr:uid="{00000000-0005-0000-0000-000068000000}"/>
    <cellStyle name="20% - Accent2 4 3 2" xfId="106" xr:uid="{00000000-0005-0000-0000-000069000000}"/>
    <cellStyle name="20% - Accent2 4 3 3" xfId="107" xr:uid="{00000000-0005-0000-0000-00006A000000}"/>
    <cellStyle name="20% - Accent2 4 3 4" xfId="108" xr:uid="{00000000-0005-0000-0000-00006B000000}"/>
    <cellStyle name="20% - Accent2 4 4" xfId="109" xr:uid="{00000000-0005-0000-0000-00006C000000}"/>
    <cellStyle name="20% - Accent2 5" xfId="110" xr:uid="{00000000-0005-0000-0000-00006D000000}"/>
    <cellStyle name="20% - Accent2 5 2" xfId="111" xr:uid="{00000000-0005-0000-0000-00006E000000}"/>
    <cellStyle name="20% - Accent2 5 2 2" xfId="112" xr:uid="{00000000-0005-0000-0000-00006F000000}"/>
    <cellStyle name="20% - Accent2 5 2 3" xfId="113" xr:uid="{00000000-0005-0000-0000-000070000000}"/>
    <cellStyle name="20% - Accent2 5 3" xfId="114" xr:uid="{00000000-0005-0000-0000-000071000000}"/>
    <cellStyle name="20% - Accent2 5 3 2" xfId="115" xr:uid="{00000000-0005-0000-0000-000072000000}"/>
    <cellStyle name="20% - Accent2 5 3 3" xfId="116" xr:uid="{00000000-0005-0000-0000-000073000000}"/>
    <cellStyle name="20% - Accent2 5 4" xfId="117" xr:uid="{00000000-0005-0000-0000-000074000000}"/>
    <cellStyle name="20% - Accent2 5 4 2" xfId="118" xr:uid="{00000000-0005-0000-0000-000075000000}"/>
    <cellStyle name="20% - Accent2 5 4 2 2" xfId="119" xr:uid="{00000000-0005-0000-0000-000076000000}"/>
    <cellStyle name="20% - Accent2 5 4 3" xfId="120" xr:uid="{00000000-0005-0000-0000-000077000000}"/>
    <cellStyle name="20% - Accent2 5 4 3 2" xfId="121" xr:uid="{00000000-0005-0000-0000-000078000000}"/>
    <cellStyle name="20% - Accent2 6" xfId="122" xr:uid="{00000000-0005-0000-0000-000079000000}"/>
    <cellStyle name="20% - Accent2 6 2" xfId="123" xr:uid="{00000000-0005-0000-0000-00007A000000}"/>
    <cellStyle name="20% - Accent2 6 3" xfId="124" xr:uid="{00000000-0005-0000-0000-00007B000000}"/>
    <cellStyle name="20% - Accent2 6 4" xfId="125" xr:uid="{00000000-0005-0000-0000-00007C000000}"/>
    <cellStyle name="20% - Accent2 7" xfId="126" xr:uid="{00000000-0005-0000-0000-00007D000000}"/>
    <cellStyle name="20% - Accent2 7 2" xfId="127" xr:uid="{00000000-0005-0000-0000-00007E000000}"/>
    <cellStyle name="20% - Accent2 7 3" xfId="128" xr:uid="{00000000-0005-0000-0000-00007F000000}"/>
    <cellStyle name="20% - Accent2 8" xfId="129" xr:uid="{00000000-0005-0000-0000-000080000000}"/>
    <cellStyle name="20% - Accent2 8 2" xfId="130" xr:uid="{00000000-0005-0000-0000-000081000000}"/>
    <cellStyle name="20% - Accent2 9" xfId="131" xr:uid="{00000000-0005-0000-0000-000082000000}"/>
    <cellStyle name="20% - Accent2 9 2" xfId="132" xr:uid="{00000000-0005-0000-0000-000083000000}"/>
    <cellStyle name="20% - Accent2 9 3" xfId="133" xr:uid="{00000000-0005-0000-0000-000084000000}"/>
    <cellStyle name="20% - Accent2 9 3 2" xfId="134" xr:uid="{00000000-0005-0000-0000-000085000000}"/>
    <cellStyle name="20% - Accent2 9 4" xfId="135" xr:uid="{00000000-0005-0000-0000-000086000000}"/>
    <cellStyle name="20% - Accent2 9 4 2" xfId="136" xr:uid="{00000000-0005-0000-0000-000087000000}"/>
    <cellStyle name="20% - Accent3" xfId="137" builtinId="38" customBuiltin="1"/>
    <cellStyle name="20% - Accent3 10" xfId="138" xr:uid="{00000000-0005-0000-0000-000089000000}"/>
    <cellStyle name="20% - Accent3 11" xfId="139" xr:uid="{00000000-0005-0000-0000-00008A000000}"/>
    <cellStyle name="20% - Accent3 12" xfId="140" xr:uid="{00000000-0005-0000-0000-00008B000000}"/>
    <cellStyle name="20% - Accent3 13" xfId="141" xr:uid="{00000000-0005-0000-0000-00008C000000}"/>
    <cellStyle name="20% - Accent3 14" xfId="142" xr:uid="{00000000-0005-0000-0000-00008D000000}"/>
    <cellStyle name="20% - Accent3 15" xfId="143" xr:uid="{00000000-0005-0000-0000-00008E000000}"/>
    <cellStyle name="20% - Accent3 2" xfId="144" xr:uid="{00000000-0005-0000-0000-00008F000000}"/>
    <cellStyle name="20% - Accent3 2 2" xfId="145" xr:uid="{00000000-0005-0000-0000-000090000000}"/>
    <cellStyle name="20% - Accent3 2 2 2" xfId="146" xr:uid="{00000000-0005-0000-0000-000091000000}"/>
    <cellStyle name="20% - Accent3 2 3" xfId="147" xr:uid="{00000000-0005-0000-0000-000092000000}"/>
    <cellStyle name="20% - Accent3 2 3 2" xfId="148" xr:uid="{00000000-0005-0000-0000-000093000000}"/>
    <cellStyle name="20% - Accent3 2 3 2 2" xfId="149" xr:uid="{00000000-0005-0000-0000-000094000000}"/>
    <cellStyle name="20% - Accent3 2 3 3" xfId="150" xr:uid="{00000000-0005-0000-0000-000095000000}"/>
    <cellStyle name="20% - Accent3 2 3 4" xfId="151" xr:uid="{00000000-0005-0000-0000-000096000000}"/>
    <cellStyle name="20% - Accent3 2 3 5" xfId="152" xr:uid="{00000000-0005-0000-0000-000097000000}"/>
    <cellStyle name="20% - Accent3 2 3 6" xfId="153" xr:uid="{00000000-0005-0000-0000-000098000000}"/>
    <cellStyle name="20% - Accent3 2 4" xfId="154" xr:uid="{00000000-0005-0000-0000-000099000000}"/>
    <cellStyle name="20% - Accent3 2 4 2" xfId="155" xr:uid="{00000000-0005-0000-0000-00009A000000}"/>
    <cellStyle name="20% - Accent3 2 4 3" xfId="156" xr:uid="{00000000-0005-0000-0000-00009B000000}"/>
    <cellStyle name="20% - Accent3 2 4 4" xfId="157" xr:uid="{00000000-0005-0000-0000-00009C000000}"/>
    <cellStyle name="20% - Accent3 2 4 5" xfId="158" xr:uid="{00000000-0005-0000-0000-00009D000000}"/>
    <cellStyle name="20% - Accent3 2 5" xfId="159" xr:uid="{00000000-0005-0000-0000-00009E000000}"/>
    <cellStyle name="20% - Accent3 2 5 2" xfId="160" xr:uid="{00000000-0005-0000-0000-00009F000000}"/>
    <cellStyle name="20% - Accent3 2 5 3" xfId="161" xr:uid="{00000000-0005-0000-0000-0000A0000000}"/>
    <cellStyle name="20% - Accent3 2 6" xfId="162" xr:uid="{00000000-0005-0000-0000-0000A1000000}"/>
    <cellStyle name="20% - Accent3 3" xfId="163" xr:uid="{00000000-0005-0000-0000-0000A2000000}"/>
    <cellStyle name="20% - Accent3 3 2" xfId="164" xr:uid="{00000000-0005-0000-0000-0000A3000000}"/>
    <cellStyle name="20% - Accent3 3 3" xfId="165" xr:uid="{00000000-0005-0000-0000-0000A4000000}"/>
    <cellStyle name="20% - Accent3 3 4" xfId="166" xr:uid="{00000000-0005-0000-0000-0000A5000000}"/>
    <cellStyle name="20% - Accent3 3 5" xfId="167" xr:uid="{00000000-0005-0000-0000-0000A6000000}"/>
    <cellStyle name="20% - Accent3 4" xfId="168" xr:uid="{00000000-0005-0000-0000-0000A7000000}"/>
    <cellStyle name="20% - Accent3 4 2" xfId="169" xr:uid="{00000000-0005-0000-0000-0000A8000000}"/>
    <cellStyle name="20% - Accent3 4 2 2" xfId="170" xr:uid="{00000000-0005-0000-0000-0000A9000000}"/>
    <cellStyle name="20% - Accent3 4 2 3" xfId="171" xr:uid="{00000000-0005-0000-0000-0000AA000000}"/>
    <cellStyle name="20% - Accent3 4 2 4" xfId="172" xr:uid="{00000000-0005-0000-0000-0000AB000000}"/>
    <cellStyle name="20% - Accent3 4 3" xfId="173" xr:uid="{00000000-0005-0000-0000-0000AC000000}"/>
    <cellStyle name="20% - Accent3 4 3 2" xfId="174" xr:uid="{00000000-0005-0000-0000-0000AD000000}"/>
    <cellStyle name="20% - Accent3 4 3 3" xfId="175" xr:uid="{00000000-0005-0000-0000-0000AE000000}"/>
    <cellStyle name="20% - Accent3 4 3 4" xfId="176" xr:uid="{00000000-0005-0000-0000-0000AF000000}"/>
    <cellStyle name="20% - Accent3 4 4" xfId="177" xr:uid="{00000000-0005-0000-0000-0000B0000000}"/>
    <cellStyle name="20% - Accent3 5" xfId="178" xr:uid="{00000000-0005-0000-0000-0000B1000000}"/>
    <cellStyle name="20% - Accent3 5 2" xfId="179" xr:uid="{00000000-0005-0000-0000-0000B2000000}"/>
    <cellStyle name="20% - Accent3 5 2 2" xfId="180" xr:uid="{00000000-0005-0000-0000-0000B3000000}"/>
    <cellStyle name="20% - Accent3 5 2 3" xfId="181" xr:uid="{00000000-0005-0000-0000-0000B4000000}"/>
    <cellStyle name="20% - Accent3 5 3" xfId="182" xr:uid="{00000000-0005-0000-0000-0000B5000000}"/>
    <cellStyle name="20% - Accent3 5 3 2" xfId="183" xr:uid="{00000000-0005-0000-0000-0000B6000000}"/>
    <cellStyle name="20% - Accent3 5 3 3" xfId="184" xr:uid="{00000000-0005-0000-0000-0000B7000000}"/>
    <cellStyle name="20% - Accent3 5 4" xfId="185" xr:uid="{00000000-0005-0000-0000-0000B8000000}"/>
    <cellStyle name="20% - Accent3 5 4 2" xfId="186" xr:uid="{00000000-0005-0000-0000-0000B9000000}"/>
    <cellStyle name="20% - Accent3 5 4 2 2" xfId="187" xr:uid="{00000000-0005-0000-0000-0000BA000000}"/>
    <cellStyle name="20% - Accent3 5 4 3" xfId="188" xr:uid="{00000000-0005-0000-0000-0000BB000000}"/>
    <cellStyle name="20% - Accent3 5 4 3 2" xfId="189" xr:uid="{00000000-0005-0000-0000-0000BC000000}"/>
    <cellStyle name="20% - Accent3 6" xfId="190" xr:uid="{00000000-0005-0000-0000-0000BD000000}"/>
    <cellStyle name="20% - Accent3 6 2" xfId="191" xr:uid="{00000000-0005-0000-0000-0000BE000000}"/>
    <cellStyle name="20% - Accent3 6 3" xfId="192" xr:uid="{00000000-0005-0000-0000-0000BF000000}"/>
    <cellStyle name="20% - Accent3 6 4" xfId="193" xr:uid="{00000000-0005-0000-0000-0000C0000000}"/>
    <cellStyle name="20% - Accent3 7" xfId="194" xr:uid="{00000000-0005-0000-0000-0000C1000000}"/>
    <cellStyle name="20% - Accent3 7 2" xfId="195" xr:uid="{00000000-0005-0000-0000-0000C2000000}"/>
    <cellStyle name="20% - Accent3 7 3" xfId="196" xr:uid="{00000000-0005-0000-0000-0000C3000000}"/>
    <cellStyle name="20% - Accent3 8" xfId="197" xr:uid="{00000000-0005-0000-0000-0000C4000000}"/>
    <cellStyle name="20% - Accent3 8 2" xfId="198" xr:uid="{00000000-0005-0000-0000-0000C5000000}"/>
    <cellStyle name="20% - Accent3 9" xfId="199" xr:uid="{00000000-0005-0000-0000-0000C6000000}"/>
    <cellStyle name="20% - Accent3 9 2" xfId="200" xr:uid="{00000000-0005-0000-0000-0000C7000000}"/>
    <cellStyle name="20% - Accent3 9 3" xfId="201" xr:uid="{00000000-0005-0000-0000-0000C8000000}"/>
    <cellStyle name="20% - Accent3 9 3 2" xfId="202" xr:uid="{00000000-0005-0000-0000-0000C9000000}"/>
    <cellStyle name="20% - Accent3 9 4" xfId="203" xr:uid="{00000000-0005-0000-0000-0000CA000000}"/>
    <cellStyle name="20% - Accent3 9 4 2" xfId="204" xr:uid="{00000000-0005-0000-0000-0000CB000000}"/>
    <cellStyle name="20% - Accent4" xfId="205" builtinId="42" customBuiltin="1"/>
    <cellStyle name="20% - Accent4 10" xfId="206" xr:uid="{00000000-0005-0000-0000-0000CD000000}"/>
    <cellStyle name="20% - Accent4 11" xfId="207" xr:uid="{00000000-0005-0000-0000-0000CE000000}"/>
    <cellStyle name="20% - Accent4 12" xfId="208" xr:uid="{00000000-0005-0000-0000-0000CF000000}"/>
    <cellStyle name="20% - Accent4 13" xfId="209" xr:uid="{00000000-0005-0000-0000-0000D0000000}"/>
    <cellStyle name="20% - Accent4 14" xfId="210" xr:uid="{00000000-0005-0000-0000-0000D1000000}"/>
    <cellStyle name="20% - Accent4 15" xfId="211" xr:uid="{00000000-0005-0000-0000-0000D2000000}"/>
    <cellStyle name="20% - Accent4 2" xfId="212" xr:uid="{00000000-0005-0000-0000-0000D3000000}"/>
    <cellStyle name="20% - Accent4 2 2" xfId="213" xr:uid="{00000000-0005-0000-0000-0000D4000000}"/>
    <cellStyle name="20% - Accent4 2 2 2" xfId="214" xr:uid="{00000000-0005-0000-0000-0000D5000000}"/>
    <cellStyle name="20% - Accent4 2 3" xfId="215" xr:uid="{00000000-0005-0000-0000-0000D6000000}"/>
    <cellStyle name="20% - Accent4 2 3 2" xfId="216" xr:uid="{00000000-0005-0000-0000-0000D7000000}"/>
    <cellStyle name="20% - Accent4 2 3 2 2" xfId="217" xr:uid="{00000000-0005-0000-0000-0000D8000000}"/>
    <cellStyle name="20% - Accent4 2 3 3" xfId="218" xr:uid="{00000000-0005-0000-0000-0000D9000000}"/>
    <cellStyle name="20% - Accent4 2 3 4" xfId="219" xr:uid="{00000000-0005-0000-0000-0000DA000000}"/>
    <cellStyle name="20% - Accent4 2 3 5" xfId="220" xr:uid="{00000000-0005-0000-0000-0000DB000000}"/>
    <cellStyle name="20% - Accent4 2 3 6" xfId="221" xr:uid="{00000000-0005-0000-0000-0000DC000000}"/>
    <cellStyle name="20% - Accent4 2 4" xfId="222" xr:uid="{00000000-0005-0000-0000-0000DD000000}"/>
    <cellStyle name="20% - Accent4 2 4 2" xfId="223" xr:uid="{00000000-0005-0000-0000-0000DE000000}"/>
    <cellStyle name="20% - Accent4 2 4 3" xfId="224" xr:uid="{00000000-0005-0000-0000-0000DF000000}"/>
    <cellStyle name="20% - Accent4 2 4 4" xfId="225" xr:uid="{00000000-0005-0000-0000-0000E0000000}"/>
    <cellStyle name="20% - Accent4 2 4 5" xfId="226" xr:uid="{00000000-0005-0000-0000-0000E1000000}"/>
    <cellStyle name="20% - Accent4 2 5" xfId="227" xr:uid="{00000000-0005-0000-0000-0000E2000000}"/>
    <cellStyle name="20% - Accent4 2 5 2" xfId="228" xr:uid="{00000000-0005-0000-0000-0000E3000000}"/>
    <cellStyle name="20% - Accent4 2 5 3" xfId="229" xr:uid="{00000000-0005-0000-0000-0000E4000000}"/>
    <cellStyle name="20% - Accent4 2 6" xfId="230" xr:uid="{00000000-0005-0000-0000-0000E5000000}"/>
    <cellStyle name="20% - Accent4 3" xfId="231" xr:uid="{00000000-0005-0000-0000-0000E6000000}"/>
    <cellStyle name="20% - Accent4 3 2" xfId="232" xr:uid="{00000000-0005-0000-0000-0000E7000000}"/>
    <cellStyle name="20% - Accent4 3 3" xfId="233" xr:uid="{00000000-0005-0000-0000-0000E8000000}"/>
    <cellStyle name="20% - Accent4 3 4" xfId="234" xr:uid="{00000000-0005-0000-0000-0000E9000000}"/>
    <cellStyle name="20% - Accent4 3 5" xfId="235" xr:uid="{00000000-0005-0000-0000-0000EA000000}"/>
    <cellStyle name="20% - Accent4 4" xfId="236" xr:uid="{00000000-0005-0000-0000-0000EB000000}"/>
    <cellStyle name="20% - Accent4 4 2" xfId="237" xr:uid="{00000000-0005-0000-0000-0000EC000000}"/>
    <cellStyle name="20% - Accent4 4 2 2" xfId="238" xr:uid="{00000000-0005-0000-0000-0000ED000000}"/>
    <cellStyle name="20% - Accent4 4 2 3" xfId="239" xr:uid="{00000000-0005-0000-0000-0000EE000000}"/>
    <cellStyle name="20% - Accent4 4 2 4" xfId="240" xr:uid="{00000000-0005-0000-0000-0000EF000000}"/>
    <cellStyle name="20% - Accent4 4 3" xfId="241" xr:uid="{00000000-0005-0000-0000-0000F0000000}"/>
    <cellStyle name="20% - Accent4 4 3 2" xfId="242" xr:uid="{00000000-0005-0000-0000-0000F1000000}"/>
    <cellStyle name="20% - Accent4 4 3 3" xfId="243" xr:uid="{00000000-0005-0000-0000-0000F2000000}"/>
    <cellStyle name="20% - Accent4 4 3 4" xfId="244" xr:uid="{00000000-0005-0000-0000-0000F3000000}"/>
    <cellStyle name="20% - Accent4 4 4" xfId="245" xr:uid="{00000000-0005-0000-0000-0000F4000000}"/>
    <cellStyle name="20% - Accent4 5" xfId="246" xr:uid="{00000000-0005-0000-0000-0000F5000000}"/>
    <cellStyle name="20% - Accent4 5 2" xfId="247" xr:uid="{00000000-0005-0000-0000-0000F6000000}"/>
    <cellStyle name="20% - Accent4 5 2 2" xfId="248" xr:uid="{00000000-0005-0000-0000-0000F7000000}"/>
    <cellStyle name="20% - Accent4 5 2 3" xfId="249" xr:uid="{00000000-0005-0000-0000-0000F8000000}"/>
    <cellStyle name="20% - Accent4 5 3" xfId="250" xr:uid="{00000000-0005-0000-0000-0000F9000000}"/>
    <cellStyle name="20% - Accent4 5 3 2" xfId="251" xr:uid="{00000000-0005-0000-0000-0000FA000000}"/>
    <cellStyle name="20% - Accent4 5 3 3" xfId="252" xr:uid="{00000000-0005-0000-0000-0000FB000000}"/>
    <cellStyle name="20% - Accent4 5 4" xfId="253" xr:uid="{00000000-0005-0000-0000-0000FC000000}"/>
    <cellStyle name="20% - Accent4 5 4 2" xfId="254" xr:uid="{00000000-0005-0000-0000-0000FD000000}"/>
    <cellStyle name="20% - Accent4 5 4 2 2" xfId="255" xr:uid="{00000000-0005-0000-0000-0000FE000000}"/>
    <cellStyle name="20% - Accent4 5 4 3" xfId="256" xr:uid="{00000000-0005-0000-0000-0000FF000000}"/>
    <cellStyle name="20% - Accent4 5 4 3 2" xfId="257" xr:uid="{00000000-0005-0000-0000-000000010000}"/>
    <cellStyle name="20% - Accent4 6" xfId="258" xr:uid="{00000000-0005-0000-0000-000001010000}"/>
    <cellStyle name="20% - Accent4 6 2" xfId="259" xr:uid="{00000000-0005-0000-0000-000002010000}"/>
    <cellStyle name="20% - Accent4 6 3" xfId="260" xr:uid="{00000000-0005-0000-0000-000003010000}"/>
    <cellStyle name="20% - Accent4 6 4" xfId="261" xr:uid="{00000000-0005-0000-0000-000004010000}"/>
    <cellStyle name="20% - Accent4 7" xfId="262" xr:uid="{00000000-0005-0000-0000-000005010000}"/>
    <cellStyle name="20% - Accent4 7 2" xfId="263" xr:uid="{00000000-0005-0000-0000-000006010000}"/>
    <cellStyle name="20% - Accent4 7 3" xfId="264" xr:uid="{00000000-0005-0000-0000-000007010000}"/>
    <cellStyle name="20% - Accent4 8" xfId="265" xr:uid="{00000000-0005-0000-0000-000008010000}"/>
    <cellStyle name="20% - Accent4 8 2" xfId="266" xr:uid="{00000000-0005-0000-0000-000009010000}"/>
    <cellStyle name="20% - Accent4 9" xfId="267" xr:uid="{00000000-0005-0000-0000-00000A010000}"/>
    <cellStyle name="20% - Accent4 9 2" xfId="268" xr:uid="{00000000-0005-0000-0000-00000B010000}"/>
    <cellStyle name="20% - Accent4 9 3" xfId="269" xr:uid="{00000000-0005-0000-0000-00000C010000}"/>
    <cellStyle name="20% - Accent4 9 3 2" xfId="270" xr:uid="{00000000-0005-0000-0000-00000D010000}"/>
    <cellStyle name="20% - Accent4 9 4" xfId="271" xr:uid="{00000000-0005-0000-0000-00000E010000}"/>
    <cellStyle name="20% - Accent4 9 4 2" xfId="272" xr:uid="{00000000-0005-0000-0000-00000F010000}"/>
    <cellStyle name="20% - Accent5" xfId="273" builtinId="46" customBuiltin="1"/>
    <cellStyle name="20% - Accent5 10" xfId="274" xr:uid="{00000000-0005-0000-0000-000011010000}"/>
    <cellStyle name="20% - Accent5 11" xfId="275" xr:uid="{00000000-0005-0000-0000-000012010000}"/>
    <cellStyle name="20% - Accent5 12" xfId="276" xr:uid="{00000000-0005-0000-0000-000013010000}"/>
    <cellStyle name="20% - Accent5 13" xfId="277" xr:uid="{00000000-0005-0000-0000-000014010000}"/>
    <cellStyle name="20% - Accent5 14" xfId="278" xr:uid="{00000000-0005-0000-0000-000015010000}"/>
    <cellStyle name="20% - Accent5 15" xfId="279" xr:uid="{00000000-0005-0000-0000-000016010000}"/>
    <cellStyle name="20% - Accent5 2" xfId="280" xr:uid="{00000000-0005-0000-0000-000017010000}"/>
    <cellStyle name="20% - Accent5 2 2" xfId="281" xr:uid="{00000000-0005-0000-0000-000018010000}"/>
    <cellStyle name="20% - Accent5 2 2 2" xfId="282" xr:uid="{00000000-0005-0000-0000-000019010000}"/>
    <cellStyle name="20% - Accent5 2 3" xfId="283" xr:uid="{00000000-0005-0000-0000-00001A010000}"/>
    <cellStyle name="20% - Accent5 2 3 2" xfId="284" xr:uid="{00000000-0005-0000-0000-00001B010000}"/>
    <cellStyle name="20% - Accent5 2 3 2 2" xfId="285" xr:uid="{00000000-0005-0000-0000-00001C010000}"/>
    <cellStyle name="20% - Accent5 2 3 3" xfId="286" xr:uid="{00000000-0005-0000-0000-00001D010000}"/>
    <cellStyle name="20% - Accent5 2 3 4" xfId="287" xr:uid="{00000000-0005-0000-0000-00001E010000}"/>
    <cellStyle name="20% - Accent5 2 3 5" xfId="288" xr:uid="{00000000-0005-0000-0000-00001F010000}"/>
    <cellStyle name="20% - Accent5 2 3 6" xfId="289" xr:uid="{00000000-0005-0000-0000-000020010000}"/>
    <cellStyle name="20% - Accent5 2 4" xfId="290" xr:uid="{00000000-0005-0000-0000-000021010000}"/>
    <cellStyle name="20% - Accent5 2 4 2" xfId="291" xr:uid="{00000000-0005-0000-0000-000022010000}"/>
    <cellStyle name="20% - Accent5 2 4 3" xfId="292" xr:uid="{00000000-0005-0000-0000-000023010000}"/>
    <cellStyle name="20% - Accent5 2 4 4" xfId="293" xr:uid="{00000000-0005-0000-0000-000024010000}"/>
    <cellStyle name="20% - Accent5 2 4 5" xfId="294" xr:uid="{00000000-0005-0000-0000-000025010000}"/>
    <cellStyle name="20% - Accent5 2 5" xfId="295" xr:uid="{00000000-0005-0000-0000-000026010000}"/>
    <cellStyle name="20% - Accent5 2 5 2" xfId="296" xr:uid="{00000000-0005-0000-0000-000027010000}"/>
    <cellStyle name="20% - Accent5 2 5 3" xfId="297" xr:uid="{00000000-0005-0000-0000-000028010000}"/>
    <cellStyle name="20% - Accent5 2 6" xfId="298" xr:uid="{00000000-0005-0000-0000-000029010000}"/>
    <cellStyle name="20% - Accent5 3" xfId="299" xr:uid="{00000000-0005-0000-0000-00002A010000}"/>
    <cellStyle name="20% - Accent5 3 2" xfId="300" xr:uid="{00000000-0005-0000-0000-00002B010000}"/>
    <cellStyle name="20% - Accent5 3 3" xfId="301" xr:uid="{00000000-0005-0000-0000-00002C010000}"/>
    <cellStyle name="20% - Accent5 3 4" xfId="302" xr:uid="{00000000-0005-0000-0000-00002D010000}"/>
    <cellStyle name="20% - Accent5 3 5" xfId="303" xr:uid="{00000000-0005-0000-0000-00002E010000}"/>
    <cellStyle name="20% - Accent5 4" xfId="304" xr:uid="{00000000-0005-0000-0000-00002F010000}"/>
    <cellStyle name="20% - Accent5 4 2" xfId="305" xr:uid="{00000000-0005-0000-0000-000030010000}"/>
    <cellStyle name="20% - Accent5 4 2 2" xfId="306" xr:uid="{00000000-0005-0000-0000-000031010000}"/>
    <cellStyle name="20% - Accent5 4 2 3" xfId="307" xr:uid="{00000000-0005-0000-0000-000032010000}"/>
    <cellStyle name="20% - Accent5 4 2 4" xfId="308" xr:uid="{00000000-0005-0000-0000-000033010000}"/>
    <cellStyle name="20% - Accent5 4 3" xfId="309" xr:uid="{00000000-0005-0000-0000-000034010000}"/>
    <cellStyle name="20% - Accent5 4 3 2" xfId="310" xr:uid="{00000000-0005-0000-0000-000035010000}"/>
    <cellStyle name="20% - Accent5 4 3 3" xfId="311" xr:uid="{00000000-0005-0000-0000-000036010000}"/>
    <cellStyle name="20% - Accent5 4 3 4" xfId="312" xr:uid="{00000000-0005-0000-0000-000037010000}"/>
    <cellStyle name="20% - Accent5 4 4" xfId="313" xr:uid="{00000000-0005-0000-0000-000038010000}"/>
    <cellStyle name="20% - Accent5 5" xfId="314" xr:uid="{00000000-0005-0000-0000-000039010000}"/>
    <cellStyle name="20% - Accent5 5 2" xfId="315" xr:uid="{00000000-0005-0000-0000-00003A010000}"/>
    <cellStyle name="20% - Accent5 5 2 2" xfId="316" xr:uid="{00000000-0005-0000-0000-00003B010000}"/>
    <cellStyle name="20% - Accent5 5 2 3" xfId="317" xr:uid="{00000000-0005-0000-0000-00003C010000}"/>
    <cellStyle name="20% - Accent5 5 3" xfId="318" xr:uid="{00000000-0005-0000-0000-00003D010000}"/>
    <cellStyle name="20% - Accent5 5 3 2" xfId="319" xr:uid="{00000000-0005-0000-0000-00003E010000}"/>
    <cellStyle name="20% - Accent5 5 3 3" xfId="320" xr:uid="{00000000-0005-0000-0000-00003F010000}"/>
    <cellStyle name="20% - Accent5 5 4" xfId="321" xr:uid="{00000000-0005-0000-0000-000040010000}"/>
    <cellStyle name="20% - Accent5 5 4 2" xfId="322" xr:uid="{00000000-0005-0000-0000-000041010000}"/>
    <cellStyle name="20% - Accent5 5 4 2 2" xfId="323" xr:uid="{00000000-0005-0000-0000-000042010000}"/>
    <cellStyle name="20% - Accent5 5 4 3" xfId="324" xr:uid="{00000000-0005-0000-0000-000043010000}"/>
    <cellStyle name="20% - Accent5 5 4 3 2" xfId="325" xr:uid="{00000000-0005-0000-0000-000044010000}"/>
    <cellStyle name="20% - Accent5 6" xfId="326" xr:uid="{00000000-0005-0000-0000-000045010000}"/>
    <cellStyle name="20% - Accent5 6 2" xfId="327" xr:uid="{00000000-0005-0000-0000-000046010000}"/>
    <cellStyle name="20% - Accent5 6 3" xfId="328" xr:uid="{00000000-0005-0000-0000-000047010000}"/>
    <cellStyle name="20% - Accent5 6 4" xfId="329" xr:uid="{00000000-0005-0000-0000-000048010000}"/>
    <cellStyle name="20% - Accent5 7" xfId="330" xr:uid="{00000000-0005-0000-0000-000049010000}"/>
    <cellStyle name="20% - Accent5 7 2" xfId="331" xr:uid="{00000000-0005-0000-0000-00004A010000}"/>
    <cellStyle name="20% - Accent5 7 3" xfId="332" xr:uid="{00000000-0005-0000-0000-00004B010000}"/>
    <cellStyle name="20% - Accent5 8" xfId="333" xr:uid="{00000000-0005-0000-0000-00004C010000}"/>
    <cellStyle name="20% - Accent5 8 2" xfId="334" xr:uid="{00000000-0005-0000-0000-00004D010000}"/>
    <cellStyle name="20% - Accent5 9" xfId="335" xr:uid="{00000000-0005-0000-0000-00004E010000}"/>
    <cellStyle name="20% - Accent5 9 2" xfId="336" xr:uid="{00000000-0005-0000-0000-00004F010000}"/>
    <cellStyle name="20% - Accent5 9 3" xfId="337" xr:uid="{00000000-0005-0000-0000-000050010000}"/>
    <cellStyle name="20% - Accent5 9 3 2" xfId="338" xr:uid="{00000000-0005-0000-0000-000051010000}"/>
    <cellStyle name="20% - Accent5 9 4" xfId="339" xr:uid="{00000000-0005-0000-0000-000052010000}"/>
    <cellStyle name="20% - Accent5 9 4 2" xfId="340" xr:uid="{00000000-0005-0000-0000-000053010000}"/>
    <cellStyle name="20% - Accent6" xfId="341" builtinId="50" customBuiltin="1"/>
    <cellStyle name="20% - Accent6 10" xfId="342" xr:uid="{00000000-0005-0000-0000-000055010000}"/>
    <cellStyle name="20% - Accent6 11" xfId="343" xr:uid="{00000000-0005-0000-0000-000056010000}"/>
    <cellStyle name="20% - Accent6 12" xfId="344" xr:uid="{00000000-0005-0000-0000-000057010000}"/>
    <cellStyle name="20% - Accent6 13" xfId="345" xr:uid="{00000000-0005-0000-0000-000058010000}"/>
    <cellStyle name="20% - Accent6 14" xfId="346" xr:uid="{00000000-0005-0000-0000-000059010000}"/>
    <cellStyle name="20% - Accent6 15" xfId="347" xr:uid="{00000000-0005-0000-0000-00005A010000}"/>
    <cellStyle name="20% - Accent6 2" xfId="348" xr:uid="{00000000-0005-0000-0000-00005B010000}"/>
    <cellStyle name="20% - Accent6 2 2" xfId="349" xr:uid="{00000000-0005-0000-0000-00005C010000}"/>
    <cellStyle name="20% - Accent6 2 2 2" xfId="350" xr:uid="{00000000-0005-0000-0000-00005D010000}"/>
    <cellStyle name="20% - Accent6 2 3" xfId="351" xr:uid="{00000000-0005-0000-0000-00005E010000}"/>
    <cellStyle name="20% - Accent6 2 3 2" xfId="352" xr:uid="{00000000-0005-0000-0000-00005F010000}"/>
    <cellStyle name="20% - Accent6 2 3 2 2" xfId="353" xr:uid="{00000000-0005-0000-0000-000060010000}"/>
    <cellStyle name="20% - Accent6 2 3 3" xfId="354" xr:uid="{00000000-0005-0000-0000-000061010000}"/>
    <cellStyle name="20% - Accent6 2 3 4" xfId="355" xr:uid="{00000000-0005-0000-0000-000062010000}"/>
    <cellStyle name="20% - Accent6 2 3 5" xfId="356" xr:uid="{00000000-0005-0000-0000-000063010000}"/>
    <cellStyle name="20% - Accent6 2 3 6" xfId="357" xr:uid="{00000000-0005-0000-0000-000064010000}"/>
    <cellStyle name="20% - Accent6 2 4" xfId="358" xr:uid="{00000000-0005-0000-0000-000065010000}"/>
    <cellStyle name="20% - Accent6 2 4 2" xfId="359" xr:uid="{00000000-0005-0000-0000-000066010000}"/>
    <cellStyle name="20% - Accent6 2 4 3" xfId="360" xr:uid="{00000000-0005-0000-0000-000067010000}"/>
    <cellStyle name="20% - Accent6 2 4 4" xfId="361" xr:uid="{00000000-0005-0000-0000-000068010000}"/>
    <cellStyle name="20% - Accent6 2 4 5" xfId="362" xr:uid="{00000000-0005-0000-0000-000069010000}"/>
    <cellStyle name="20% - Accent6 2 5" xfId="363" xr:uid="{00000000-0005-0000-0000-00006A010000}"/>
    <cellStyle name="20% - Accent6 2 5 2" xfId="364" xr:uid="{00000000-0005-0000-0000-00006B010000}"/>
    <cellStyle name="20% - Accent6 2 5 3" xfId="365" xr:uid="{00000000-0005-0000-0000-00006C010000}"/>
    <cellStyle name="20% - Accent6 2 6" xfId="366" xr:uid="{00000000-0005-0000-0000-00006D010000}"/>
    <cellStyle name="20% - Accent6 3" xfId="367" xr:uid="{00000000-0005-0000-0000-00006E010000}"/>
    <cellStyle name="20% - Accent6 3 2" xfId="368" xr:uid="{00000000-0005-0000-0000-00006F010000}"/>
    <cellStyle name="20% - Accent6 3 3" xfId="369" xr:uid="{00000000-0005-0000-0000-000070010000}"/>
    <cellStyle name="20% - Accent6 3 4" xfId="370" xr:uid="{00000000-0005-0000-0000-000071010000}"/>
    <cellStyle name="20% - Accent6 3 5" xfId="371" xr:uid="{00000000-0005-0000-0000-000072010000}"/>
    <cellStyle name="20% - Accent6 4" xfId="372" xr:uid="{00000000-0005-0000-0000-000073010000}"/>
    <cellStyle name="20% - Accent6 4 2" xfId="373" xr:uid="{00000000-0005-0000-0000-000074010000}"/>
    <cellStyle name="20% - Accent6 4 2 2" xfId="374" xr:uid="{00000000-0005-0000-0000-000075010000}"/>
    <cellStyle name="20% - Accent6 4 2 3" xfId="375" xr:uid="{00000000-0005-0000-0000-000076010000}"/>
    <cellStyle name="20% - Accent6 4 2 4" xfId="376" xr:uid="{00000000-0005-0000-0000-000077010000}"/>
    <cellStyle name="20% - Accent6 4 3" xfId="377" xr:uid="{00000000-0005-0000-0000-000078010000}"/>
    <cellStyle name="20% - Accent6 4 3 2" xfId="378" xr:uid="{00000000-0005-0000-0000-000079010000}"/>
    <cellStyle name="20% - Accent6 4 3 3" xfId="379" xr:uid="{00000000-0005-0000-0000-00007A010000}"/>
    <cellStyle name="20% - Accent6 4 3 4" xfId="380" xr:uid="{00000000-0005-0000-0000-00007B010000}"/>
    <cellStyle name="20% - Accent6 4 4" xfId="381" xr:uid="{00000000-0005-0000-0000-00007C010000}"/>
    <cellStyle name="20% - Accent6 5" xfId="382" xr:uid="{00000000-0005-0000-0000-00007D010000}"/>
    <cellStyle name="20% - Accent6 5 2" xfId="383" xr:uid="{00000000-0005-0000-0000-00007E010000}"/>
    <cellStyle name="20% - Accent6 5 2 2" xfId="384" xr:uid="{00000000-0005-0000-0000-00007F010000}"/>
    <cellStyle name="20% - Accent6 5 2 3" xfId="385" xr:uid="{00000000-0005-0000-0000-000080010000}"/>
    <cellStyle name="20% - Accent6 5 3" xfId="386" xr:uid="{00000000-0005-0000-0000-000081010000}"/>
    <cellStyle name="20% - Accent6 5 3 2" xfId="387" xr:uid="{00000000-0005-0000-0000-000082010000}"/>
    <cellStyle name="20% - Accent6 5 3 3" xfId="388" xr:uid="{00000000-0005-0000-0000-000083010000}"/>
    <cellStyle name="20% - Accent6 5 4" xfId="389" xr:uid="{00000000-0005-0000-0000-000084010000}"/>
    <cellStyle name="20% - Accent6 5 4 2" xfId="390" xr:uid="{00000000-0005-0000-0000-000085010000}"/>
    <cellStyle name="20% - Accent6 5 4 2 2" xfId="391" xr:uid="{00000000-0005-0000-0000-000086010000}"/>
    <cellStyle name="20% - Accent6 5 4 3" xfId="392" xr:uid="{00000000-0005-0000-0000-000087010000}"/>
    <cellStyle name="20% - Accent6 5 4 3 2" xfId="393" xr:uid="{00000000-0005-0000-0000-000088010000}"/>
    <cellStyle name="20% - Accent6 6" xfId="394" xr:uid="{00000000-0005-0000-0000-000089010000}"/>
    <cellStyle name="20% - Accent6 6 2" xfId="395" xr:uid="{00000000-0005-0000-0000-00008A010000}"/>
    <cellStyle name="20% - Accent6 6 3" xfId="396" xr:uid="{00000000-0005-0000-0000-00008B010000}"/>
    <cellStyle name="20% - Accent6 6 4" xfId="397" xr:uid="{00000000-0005-0000-0000-00008C010000}"/>
    <cellStyle name="20% - Accent6 7" xfId="398" xr:uid="{00000000-0005-0000-0000-00008D010000}"/>
    <cellStyle name="20% - Accent6 7 2" xfId="399" xr:uid="{00000000-0005-0000-0000-00008E010000}"/>
    <cellStyle name="20% - Accent6 7 3" xfId="400" xr:uid="{00000000-0005-0000-0000-00008F010000}"/>
    <cellStyle name="20% - Accent6 8" xfId="401" xr:uid="{00000000-0005-0000-0000-000090010000}"/>
    <cellStyle name="20% - Accent6 8 2" xfId="402" xr:uid="{00000000-0005-0000-0000-000091010000}"/>
    <cellStyle name="20% - Accent6 9" xfId="403" xr:uid="{00000000-0005-0000-0000-000092010000}"/>
    <cellStyle name="20% - Accent6 9 2" xfId="404" xr:uid="{00000000-0005-0000-0000-000093010000}"/>
    <cellStyle name="20% - Accent6 9 3" xfId="405" xr:uid="{00000000-0005-0000-0000-000094010000}"/>
    <cellStyle name="20% - Accent6 9 3 2" xfId="406" xr:uid="{00000000-0005-0000-0000-000095010000}"/>
    <cellStyle name="20% - Accent6 9 4" xfId="407" xr:uid="{00000000-0005-0000-0000-000096010000}"/>
    <cellStyle name="20% - Accent6 9 4 2" xfId="408" xr:uid="{00000000-0005-0000-0000-000097010000}"/>
    <cellStyle name="40% - Accent1" xfId="409" builtinId="31" customBuiltin="1"/>
    <cellStyle name="40% - Accent1 10" xfId="410" xr:uid="{00000000-0005-0000-0000-000099010000}"/>
    <cellStyle name="40% - Accent1 11" xfId="411" xr:uid="{00000000-0005-0000-0000-00009A010000}"/>
    <cellStyle name="40% - Accent1 12" xfId="412" xr:uid="{00000000-0005-0000-0000-00009B010000}"/>
    <cellStyle name="40% - Accent1 13" xfId="413" xr:uid="{00000000-0005-0000-0000-00009C010000}"/>
    <cellStyle name="40% - Accent1 14" xfId="414" xr:uid="{00000000-0005-0000-0000-00009D010000}"/>
    <cellStyle name="40% - Accent1 15" xfId="415" xr:uid="{00000000-0005-0000-0000-00009E010000}"/>
    <cellStyle name="40% - Accent1 2" xfId="416" xr:uid="{00000000-0005-0000-0000-00009F010000}"/>
    <cellStyle name="40% - Accent1 2 2" xfId="417" xr:uid="{00000000-0005-0000-0000-0000A0010000}"/>
    <cellStyle name="40% - Accent1 2 2 2" xfId="418" xr:uid="{00000000-0005-0000-0000-0000A1010000}"/>
    <cellStyle name="40% - Accent1 2 3" xfId="419" xr:uid="{00000000-0005-0000-0000-0000A2010000}"/>
    <cellStyle name="40% - Accent1 2 3 2" xfId="420" xr:uid="{00000000-0005-0000-0000-0000A3010000}"/>
    <cellStyle name="40% - Accent1 2 3 2 2" xfId="421" xr:uid="{00000000-0005-0000-0000-0000A4010000}"/>
    <cellStyle name="40% - Accent1 2 3 3" xfId="422" xr:uid="{00000000-0005-0000-0000-0000A5010000}"/>
    <cellStyle name="40% - Accent1 2 3 4" xfId="423" xr:uid="{00000000-0005-0000-0000-0000A6010000}"/>
    <cellStyle name="40% - Accent1 2 3 5" xfId="424" xr:uid="{00000000-0005-0000-0000-0000A7010000}"/>
    <cellStyle name="40% - Accent1 2 3 6" xfId="425" xr:uid="{00000000-0005-0000-0000-0000A8010000}"/>
    <cellStyle name="40% - Accent1 2 4" xfId="426" xr:uid="{00000000-0005-0000-0000-0000A9010000}"/>
    <cellStyle name="40% - Accent1 2 4 2" xfId="427" xr:uid="{00000000-0005-0000-0000-0000AA010000}"/>
    <cellStyle name="40% - Accent1 2 4 3" xfId="428" xr:uid="{00000000-0005-0000-0000-0000AB010000}"/>
    <cellStyle name="40% - Accent1 2 4 4" xfId="429" xr:uid="{00000000-0005-0000-0000-0000AC010000}"/>
    <cellStyle name="40% - Accent1 2 4 5" xfId="430" xr:uid="{00000000-0005-0000-0000-0000AD010000}"/>
    <cellStyle name="40% - Accent1 2 5" xfId="431" xr:uid="{00000000-0005-0000-0000-0000AE010000}"/>
    <cellStyle name="40% - Accent1 2 5 2" xfId="432" xr:uid="{00000000-0005-0000-0000-0000AF010000}"/>
    <cellStyle name="40% - Accent1 2 5 3" xfId="433" xr:uid="{00000000-0005-0000-0000-0000B0010000}"/>
    <cellStyle name="40% - Accent1 2 6" xfId="434" xr:uid="{00000000-0005-0000-0000-0000B1010000}"/>
    <cellStyle name="40% - Accent1 3" xfId="435" xr:uid="{00000000-0005-0000-0000-0000B2010000}"/>
    <cellStyle name="40% - Accent1 3 2" xfId="436" xr:uid="{00000000-0005-0000-0000-0000B3010000}"/>
    <cellStyle name="40% - Accent1 3 3" xfId="437" xr:uid="{00000000-0005-0000-0000-0000B4010000}"/>
    <cellStyle name="40% - Accent1 3 4" xfId="438" xr:uid="{00000000-0005-0000-0000-0000B5010000}"/>
    <cellStyle name="40% - Accent1 3 5" xfId="439" xr:uid="{00000000-0005-0000-0000-0000B6010000}"/>
    <cellStyle name="40% - Accent1 4" xfId="440" xr:uid="{00000000-0005-0000-0000-0000B7010000}"/>
    <cellStyle name="40% - Accent1 4 2" xfId="441" xr:uid="{00000000-0005-0000-0000-0000B8010000}"/>
    <cellStyle name="40% - Accent1 4 2 2" xfId="442" xr:uid="{00000000-0005-0000-0000-0000B9010000}"/>
    <cellStyle name="40% - Accent1 4 2 3" xfId="443" xr:uid="{00000000-0005-0000-0000-0000BA010000}"/>
    <cellStyle name="40% - Accent1 4 2 4" xfId="444" xr:uid="{00000000-0005-0000-0000-0000BB010000}"/>
    <cellStyle name="40% - Accent1 4 3" xfId="445" xr:uid="{00000000-0005-0000-0000-0000BC010000}"/>
    <cellStyle name="40% - Accent1 4 3 2" xfId="446" xr:uid="{00000000-0005-0000-0000-0000BD010000}"/>
    <cellStyle name="40% - Accent1 4 3 3" xfId="447" xr:uid="{00000000-0005-0000-0000-0000BE010000}"/>
    <cellStyle name="40% - Accent1 4 3 4" xfId="448" xr:uid="{00000000-0005-0000-0000-0000BF010000}"/>
    <cellStyle name="40% - Accent1 4 4" xfId="449" xr:uid="{00000000-0005-0000-0000-0000C0010000}"/>
    <cellStyle name="40% - Accent1 5" xfId="450" xr:uid="{00000000-0005-0000-0000-0000C1010000}"/>
    <cellStyle name="40% - Accent1 5 2" xfId="451" xr:uid="{00000000-0005-0000-0000-0000C2010000}"/>
    <cellStyle name="40% - Accent1 5 2 2" xfId="452" xr:uid="{00000000-0005-0000-0000-0000C3010000}"/>
    <cellStyle name="40% - Accent1 5 2 3" xfId="453" xr:uid="{00000000-0005-0000-0000-0000C4010000}"/>
    <cellStyle name="40% - Accent1 5 3" xfId="454" xr:uid="{00000000-0005-0000-0000-0000C5010000}"/>
    <cellStyle name="40% - Accent1 5 3 2" xfId="455" xr:uid="{00000000-0005-0000-0000-0000C6010000}"/>
    <cellStyle name="40% - Accent1 5 3 3" xfId="456" xr:uid="{00000000-0005-0000-0000-0000C7010000}"/>
    <cellStyle name="40% - Accent1 5 4" xfId="457" xr:uid="{00000000-0005-0000-0000-0000C8010000}"/>
    <cellStyle name="40% - Accent1 5 4 2" xfId="458" xr:uid="{00000000-0005-0000-0000-0000C9010000}"/>
    <cellStyle name="40% - Accent1 5 4 2 2" xfId="459" xr:uid="{00000000-0005-0000-0000-0000CA010000}"/>
    <cellStyle name="40% - Accent1 5 4 3" xfId="460" xr:uid="{00000000-0005-0000-0000-0000CB010000}"/>
    <cellStyle name="40% - Accent1 5 4 3 2" xfId="461" xr:uid="{00000000-0005-0000-0000-0000CC010000}"/>
    <cellStyle name="40% - Accent1 6" xfId="462" xr:uid="{00000000-0005-0000-0000-0000CD010000}"/>
    <cellStyle name="40% - Accent1 6 2" xfId="463" xr:uid="{00000000-0005-0000-0000-0000CE010000}"/>
    <cellStyle name="40% - Accent1 6 3" xfId="464" xr:uid="{00000000-0005-0000-0000-0000CF010000}"/>
    <cellStyle name="40% - Accent1 6 4" xfId="465" xr:uid="{00000000-0005-0000-0000-0000D0010000}"/>
    <cellStyle name="40% - Accent1 7" xfId="466" xr:uid="{00000000-0005-0000-0000-0000D1010000}"/>
    <cellStyle name="40% - Accent1 7 2" xfId="467" xr:uid="{00000000-0005-0000-0000-0000D2010000}"/>
    <cellStyle name="40% - Accent1 7 3" xfId="468" xr:uid="{00000000-0005-0000-0000-0000D3010000}"/>
    <cellStyle name="40% - Accent1 8" xfId="469" xr:uid="{00000000-0005-0000-0000-0000D4010000}"/>
    <cellStyle name="40% - Accent1 8 2" xfId="470" xr:uid="{00000000-0005-0000-0000-0000D5010000}"/>
    <cellStyle name="40% - Accent1 9" xfId="471" xr:uid="{00000000-0005-0000-0000-0000D6010000}"/>
    <cellStyle name="40% - Accent1 9 2" xfId="472" xr:uid="{00000000-0005-0000-0000-0000D7010000}"/>
    <cellStyle name="40% - Accent1 9 3" xfId="473" xr:uid="{00000000-0005-0000-0000-0000D8010000}"/>
    <cellStyle name="40% - Accent1 9 3 2" xfId="474" xr:uid="{00000000-0005-0000-0000-0000D9010000}"/>
    <cellStyle name="40% - Accent1 9 4" xfId="475" xr:uid="{00000000-0005-0000-0000-0000DA010000}"/>
    <cellStyle name="40% - Accent1 9 4 2" xfId="476" xr:uid="{00000000-0005-0000-0000-0000DB010000}"/>
    <cellStyle name="40% - Accent2" xfId="477" builtinId="35" customBuiltin="1"/>
    <cellStyle name="40% - Accent2 10" xfId="478" xr:uid="{00000000-0005-0000-0000-0000DD010000}"/>
    <cellStyle name="40% - Accent2 11" xfId="479" xr:uid="{00000000-0005-0000-0000-0000DE010000}"/>
    <cellStyle name="40% - Accent2 12" xfId="480" xr:uid="{00000000-0005-0000-0000-0000DF010000}"/>
    <cellStyle name="40% - Accent2 13" xfId="481" xr:uid="{00000000-0005-0000-0000-0000E0010000}"/>
    <cellStyle name="40% - Accent2 14" xfId="482" xr:uid="{00000000-0005-0000-0000-0000E1010000}"/>
    <cellStyle name="40% - Accent2 15" xfId="483" xr:uid="{00000000-0005-0000-0000-0000E2010000}"/>
    <cellStyle name="40% - Accent2 2" xfId="484" xr:uid="{00000000-0005-0000-0000-0000E3010000}"/>
    <cellStyle name="40% - Accent2 2 2" xfId="485" xr:uid="{00000000-0005-0000-0000-0000E4010000}"/>
    <cellStyle name="40% - Accent2 2 2 2" xfId="486" xr:uid="{00000000-0005-0000-0000-0000E5010000}"/>
    <cellStyle name="40% - Accent2 2 3" xfId="487" xr:uid="{00000000-0005-0000-0000-0000E6010000}"/>
    <cellStyle name="40% - Accent2 2 3 2" xfId="488" xr:uid="{00000000-0005-0000-0000-0000E7010000}"/>
    <cellStyle name="40% - Accent2 2 3 2 2" xfId="489" xr:uid="{00000000-0005-0000-0000-0000E8010000}"/>
    <cellStyle name="40% - Accent2 2 3 3" xfId="490" xr:uid="{00000000-0005-0000-0000-0000E9010000}"/>
    <cellStyle name="40% - Accent2 2 3 4" xfId="491" xr:uid="{00000000-0005-0000-0000-0000EA010000}"/>
    <cellStyle name="40% - Accent2 2 3 5" xfId="492" xr:uid="{00000000-0005-0000-0000-0000EB010000}"/>
    <cellStyle name="40% - Accent2 2 3 6" xfId="493" xr:uid="{00000000-0005-0000-0000-0000EC010000}"/>
    <cellStyle name="40% - Accent2 2 4" xfId="494" xr:uid="{00000000-0005-0000-0000-0000ED010000}"/>
    <cellStyle name="40% - Accent2 2 4 2" xfId="495" xr:uid="{00000000-0005-0000-0000-0000EE010000}"/>
    <cellStyle name="40% - Accent2 2 4 3" xfId="496" xr:uid="{00000000-0005-0000-0000-0000EF010000}"/>
    <cellStyle name="40% - Accent2 2 4 4" xfId="497" xr:uid="{00000000-0005-0000-0000-0000F0010000}"/>
    <cellStyle name="40% - Accent2 2 4 5" xfId="498" xr:uid="{00000000-0005-0000-0000-0000F1010000}"/>
    <cellStyle name="40% - Accent2 2 5" xfId="499" xr:uid="{00000000-0005-0000-0000-0000F2010000}"/>
    <cellStyle name="40% - Accent2 2 5 2" xfId="500" xr:uid="{00000000-0005-0000-0000-0000F3010000}"/>
    <cellStyle name="40% - Accent2 2 5 3" xfId="501" xr:uid="{00000000-0005-0000-0000-0000F4010000}"/>
    <cellStyle name="40% - Accent2 2 6" xfId="502" xr:uid="{00000000-0005-0000-0000-0000F5010000}"/>
    <cellStyle name="40% - Accent2 3" xfId="503" xr:uid="{00000000-0005-0000-0000-0000F6010000}"/>
    <cellStyle name="40% - Accent2 3 2" xfId="504" xr:uid="{00000000-0005-0000-0000-0000F7010000}"/>
    <cellStyle name="40% - Accent2 3 3" xfId="505" xr:uid="{00000000-0005-0000-0000-0000F8010000}"/>
    <cellStyle name="40% - Accent2 3 4" xfId="506" xr:uid="{00000000-0005-0000-0000-0000F9010000}"/>
    <cellStyle name="40% - Accent2 3 5" xfId="507" xr:uid="{00000000-0005-0000-0000-0000FA010000}"/>
    <cellStyle name="40% - Accent2 4" xfId="508" xr:uid="{00000000-0005-0000-0000-0000FB010000}"/>
    <cellStyle name="40% - Accent2 4 2" xfId="509" xr:uid="{00000000-0005-0000-0000-0000FC010000}"/>
    <cellStyle name="40% - Accent2 4 2 2" xfId="510" xr:uid="{00000000-0005-0000-0000-0000FD010000}"/>
    <cellStyle name="40% - Accent2 4 2 3" xfId="511" xr:uid="{00000000-0005-0000-0000-0000FE010000}"/>
    <cellStyle name="40% - Accent2 4 2 4" xfId="512" xr:uid="{00000000-0005-0000-0000-0000FF010000}"/>
    <cellStyle name="40% - Accent2 4 3" xfId="513" xr:uid="{00000000-0005-0000-0000-000000020000}"/>
    <cellStyle name="40% - Accent2 4 3 2" xfId="514" xr:uid="{00000000-0005-0000-0000-000001020000}"/>
    <cellStyle name="40% - Accent2 4 3 3" xfId="515" xr:uid="{00000000-0005-0000-0000-000002020000}"/>
    <cellStyle name="40% - Accent2 4 3 4" xfId="516" xr:uid="{00000000-0005-0000-0000-000003020000}"/>
    <cellStyle name="40% - Accent2 4 4" xfId="517" xr:uid="{00000000-0005-0000-0000-000004020000}"/>
    <cellStyle name="40% - Accent2 5" xfId="518" xr:uid="{00000000-0005-0000-0000-000005020000}"/>
    <cellStyle name="40% - Accent2 5 2" xfId="519" xr:uid="{00000000-0005-0000-0000-000006020000}"/>
    <cellStyle name="40% - Accent2 5 2 2" xfId="520" xr:uid="{00000000-0005-0000-0000-000007020000}"/>
    <cellStyle name="40% - Accent2 5 2 3" xfId="521" xr:uid="{00000000-0005-0000-0000-000008020000}"/>
    <cellStyle name="40% - Accent2 5 3" xfId="522" xr:uid="{00000000-0005-0000-0000-000009020000}"/>
    <cellStyle name="40% - Accent2 5 3 2" xfId="523" xr:uid="{00000000-0005-0000-0000-00000A020000}"/>
    <cellStyle name="40% - Accent2 5 3 3" xfId="524" xr:uid="{00000000-0005-0000-0000-00000B020000}"/>
    <cellStyle name="40% - Accent2 5 4" xfId="525" xr:uid="{00000000-0005-0000-0000-00000C020000}"/>
    <cellStyle name="40% - Accent2 5 4 2" xfId="526" xr:uid="{00000000-0005-0000-0000-00000D020000}"/>
    <cellStyle name="40% - Accent2 5 4 2 2" xfId="527" xr:uid="{00000000-0005-0000-0000-00000E020000}"/>
    <cellStyle name="40% - Accent2 5 4 3" xfId="528" xr:uid="{00000000-0005-0000-0000-00000F020000}"/>
    <cellStyle name="40% - Accent2 5 4 3 2" xfId="529" xr:uid="{00000000-0005-0000-0000-000010020000}"/>
    <cellStyle name="40% - Accent2 6" xfId="530" xr:uid="{00000000-0005-0000-0000-000011020000}"/>
    <cellStyle name="40% - Accent2 6 2" xfId="531" xr:uid="{00000000-0005-0000-0000-000012020000}"/>
    <cellStyle name="40% - Accent2 6 3" xfId="532" xr:uid="{00000000-0005-0000-0000-000013020000}"/>
    <cellStyle name="40% - Accent2 6 4" xfId="533" xr:uid="{00000000-0005-0000-0000-000014020000}"/>
    <cellStyle name="40% - Accent2 7" xfId="534" xr:uid="{00000000-0005-0000-0000-000015020000}"/>
    <cellStyle name="40% - Accent2 7 2" xfId="535" xr:uid="{00000000-0005-0000-0000-000016020000}"/>
    <cellStyle name="40% - Accent2 7 3" xfId="536" xr:uid="{00000000-0005-0000-0000-000017020000}"/>
    <cellStyle name="40% - Accent2 8" xfId="537" xr:uid="{00000000-0005-0000-0000-000018020000}"/>
    <cellStyle name="40% - Accent2 8 2" xfId="538" xr:uid="{00000000-0005-0000-0000-000019020000}"/>
    <cellStyle name="40% - Accent2 9" xfId="539" xr:uid="{00000000-0005-0000-0000-00001A020000}"/>
    <cellStyle name="40% - Accent2 9 2" xfId="540" xr:uid="{00000000-0005-0000-0000-00001B020000}"/>
    <cellStyle name="40% - Accent2 9 3" xfId="541" xr:uid="{00000000-0005-0000-0000-00001C020000}"/>
    <cellStyle name="40% - Accent2 9 3 2" xfId="542" xr:uid="{00000000-0005-0000-0000-00001D020000}"/>
    <cellStyle name="40% - Accent2 9 4" xfId="543" xr:uid="{00000000-0005-0000-0000-00001E020000}"/>
    <cellStyle name="40% - Accent2 9 4 2" xfId="544" xr:uid="{00000000-0005-0000-0000-00001F020000}"/>
    <cellStyle name="40% - Accent3" xfId="545" builtinId="39" customBuiltin="1"/>
    <cellStyle name="40% - Accent3 10" xfId="546" xr:uid="{00000000-0005-0000-0000-000021020000}"/>
    <cellStyle name="40% - Accent3 11" xfId="547" xr:uid="{00000000-0005-0000-0000-000022020000}"/>
    <cellStyle name="40% - Accent3 12" xfId="548" xr:uid="{00000000-0005-0000-0000-000023020000}"/>
    <cellStyle name="40% - Accent3 13" xfId="549" xr:uid="{00000000-0005-0000-0000-000024020000}"/>
    <cellStyle name="40% - Accent3 14" xfId="550" xr:uid="{00000000-0005-0000-0000-000025020000}"/>
    <cellStyle name="40% - Accent3 15" xfId="551" xr:uid="{00000000-0005-0000-0000-000026020000}"/>
    <cellStyle name="40% - Accent3 2" xfId="552" xr:uid="{00000000-0005-0000-0000-000027020000}"/>
    <cellStyle name="40% - Accent3 2 2" xfId="553" xr:uid="{00000000-0005-0000-0000-000028020000}"/>
    <cellStyle name="40% - Accent3 2 2 2" xfId="554" xr:uid="{00000000-0005-0000-0000-000029020000}"/>
    <cellStyle name="40% - Accent3 2 3" xfId="555" xr:uid="{00000000-0005-0000-0000-00002A020000}"/>
    <cellStyle name="40% - Accent3 2 3 2" xfId="556" xr:uid="{00000000-0005-0000-0000-00002B020000}"/>
    <cellStyle name="40% - Accent3 2 3 2 2" xfId="557" xr:uid="{00000000-0005-0000-0000-00002C020000}"/>
    <cellStyle name="40% - Accent3 2 3 3" xfId="558" xr:uid="{00000000-0005-0000-0000-00002D020000}"/>
    <cellStyle name="40% - Accent3 2 3 4" xfId="559" xr:uid="{00000000-0005-0000-0000-00002E020000}"/>
    <cellStyle name="40% - Accent3 2 3 5" xfId="560" xr:uid="{00000000-0005-0000-0000-00002F020000}"/>
    <cellStyle name="40% - Accent3 2 3 6" xfId="561" xr:uid="{00000000-0005-0000-0000-000030020000}"/>
    <cellStyle name="40% - Accent3 2 4" xfId="562" xr:uid="{00000000-0005-0000-0000-000031020000}"/>
    <cellStyle name="40% - Accent3 2 4 2" xfId="563" xr:uid="{00000000-0005-0000-0000-000032020000}"/>
    <cellStyle name="40% - Accent3 2 4 3" xfId="564" xr:uid="{00000000-0005-0000-0000-000033020000}"/>
    <cellStyle name="40% - Accent3 2 4 4" xfId="565" xr:uid="{00000000-0005-0000-0000-000034020000}"/>
    <cellStyle name="40% - Accent3 2 4 5" xfId="566" xr:uid="{00000000-0005-0000-0000-000035020000}"/>
    <cellStyle name="40% - Accent3 2 5" xfId="567" xr:uid="{00000000-0005-0000-0000-000036020000}"/>
    <cellStyle name="40% - Accent3 2 5 2" xfId="568" xr:uid="{00000000-0005-0000-0000-000037020000}"/>
    <cellStyle name="40% - Accent3 2 5 3" xfId="569" xr:uid="{00000000-0005-0000-0000-000038020000}"/>
    <cellStyle name="40% - Accent3 2 6" xfId="570" xr:uid="{00000000-0005-0000-0000-000039020000}"/>
    <cellStyle name="40% - Accent3 3" xfId="571" xr:uid="{00000000-0005-0000-0000-00003A020000}"/>
    <cellStyle name="40% - Accent3 3 2" xfId="572" xr:uid="{00000000-0005-0000-0000-00003B020000}"/>
    <cellStyle name="40% - Accent3 3 3" xfId="573" xr:uid="{00000000-0005-0000-0000-00003C020000}"/>
    <cellStyle name="40% - Accent3 3 4" xfId="574" xr:uid="{00000000-0005-0000-0000-00003D020000}"/>
    <cellStyle name="40% - Accent3 3 5" xfId="575" xr:uid="{00000000-0005-0000-0000-00003E020000}"/>
    <cellStyle name="40% - Accent3 4" xfId="576" xr:uid="{00000000-0005-0000-0000-00003F020000}"/>
    <cellStyle name="40% - Accent3 4 2" xfId="577" xr:uid="{00000000-0005-0000-0000-000040020000}"/>
    <cellStyle name="40% - Accent3 4 2 2" xfId="578" xr:uid="{00000000-0005-0000-0000-000041020000}"/>
    <cellStyle name="40% - Accent3 4 2 3" xfId="579" xr:uid="{00000000-0005-0000-0000-000042020000}"/>
    <cellStyle name="40% - Accent3 4 2 4" xfId="580" xr:uid="{00000000-0005-0000-0000-000043020000}"/>
    <cellStyle name="40% - Accent3 4 3" xfId="581" xr:uid="{00000000-0005-0000-0000-000044020000}"/>
    <cellStyle name="40% - Accent3 4 3 2" xfId="582" xr:uid="{00000000-0005-0000-0000-000045020000}"/>
    <cellStyle name="40% - Accent3 4 3 3" xfId="583" xr:uid="{00000000-0005-0000-0000-000046020000}"/>
    <cellStyle name="40% - Accent3 4 3 4" xfId="584" xr:uid="{00000000-0005-0000-0000-000047020000}"/>
    <cellStyle name="40% - Accent3 4 4" xfId="585" xr:uid="{00000000-0005-0000-0000-000048020000}"/>
    <cellStyle name="40% - Accent3 5" xfId="586" xr:uid="{00000000-0005-0000-0000-000049020000}"/>
    <cellStyle name="40% - Accent3 5 2" xfId="587" xr:uid="{00000000-0005-0000-0000-00004A020000}"/>
    <cellStyle name="40% - Accent3 5 2 2" xfId="588" xr:uid="{00000000-0005-0000-0000-00004B020000}"/>
    <cellStyle name="40% - Accent3 5 2 3" xfId="589" xr:uid="{00000000-0005-0000-0000-00004C020000}"/>
    <cellStyle name="40% - Accent3 5 3" xfId="590" xr:uid="{00000000-0005-0000-0000-00004D020000}"/>
    <cellStyle name="40% - Accent3 5 3 2" xfId="591" xr:uid="{00000000-0005-0000-0000-00004E020000}"/>
    <cellStyle name="40% - Accent3 5 3 3" xfId="592" xr:uid="{00000000-0005-0000-0000-00004F020000}"/>
    <cellStyle name="40% - Accent3 5 4" xfId="593" xr:uid="{00000000-0005-0000-0000-000050020000}"/>
    <cellStyle name="40% - Accent3 5 4 2" xfId="594" xr:uid="{00000000-0005-0000-0000-000051020000}"/>
    <cellStyle name="40% - Accent3 5 4 2 2" xfId="595" xr:uid="{00000000-0005-0000-0000-000052020000}"/>
    <cellStyle name="40% - Accent3 5 4 3" xfId="596" xr:uid="{00000000-0005-0000-0000-000053020000}"/>
    <cellStyle name="40% - Accent3 5 4 3 2" xfId="597" xr:uid="{00000000-0005-0000-0000-000054020000}"/>
    <cellStyle name="40% - Accent3 6" xfId="598" xr:uid="{00000000-0005-0000-0000-000055020000}"/>
    <cellStyle name="40% - Accent3 6 2" xfId="599" xr:uid="{00000000-0005-0000-0000-000056020000}"/>
    <cellStyle name="40% - Accent3 6 3" xfId="600" xr:uid="{00000000-0005-0000-0000-000057020000}"/>
    <cellStyle name="40% - Accent3 6 4" xfId="601" xr:uid="{00000000-0005-0000-0000-000058020000}"/>
    <cellStyle name="40% - Accent3 7" xfId="602" xr:uid="{00000000-0005-0000-0000-000059020000}"/>
    <cellStyle name="40% - Accent3 7 2" xfId="603" xr:uid="{00000000-0005-0000-0000-00005A020000}"/>
    <cellStyle name="40% - Accent3 7 3" xfId="604" xr:uid="{00000000-0005-0000-0000-00005B020000}"/>
    <cellStyle name="40% - Accent3 8" xfId="605" xr:uid="{00000000-0005-0000-0000-00005C020000}"/>
    <cellStyle name="40% - Accent3 8 2" xfId="606" xr:uid="{00000000-0005-0000-0000-00005D020000}"/>
    <cellStyle name="40% - Accent3 9" xfId="607" xr:uid="{00000000-0005-0000-0000-00005E020000}"/>
    <cellStyle name="40% - Accent3 9 2" xfId="608" xr:uid="{00000000-0005-0000-0000-00005F020000}"/>
    <cellStyle name="40% - Accent3 9 3" xfId="609" xr:uid="{00000000-0005-0000-0000-000060020000}"/>
    <cellStyle name="40% - Accent3 9 3 2" xfId="610" xr:uid="{00000000-0005-0000-0000-000061020000}"/>
    <cellStyle name="40% - Accent3 9 4" xfId="611" xr:uid="{00000000-0005-0000-0000-000062020000}"/>
    <cellStyle name="40% - Accent3 9 4 2" xfId="612" xr:uid="{00000000-0005-0000-0000-000063020000}"/>
    <cellStyle name="40% - Accent4" xfId="613" builtinId="43" customBuiltin="1"/>
    <cellStyle name="40% - Accent4 10" xfId="614" xr:uid="{00000000-0005-0000-0000-000065020000}"/>
    <cellStyle name="40% - Accent4 11" xfId="615" xr:uid="{00000000-0005-0000-0000-000066020000}"/>
    <cellStyle name="40% - Accent4 12" xfId="616" xr:uid="{00000000-0005-0000-0000-000067020000}"/>
    <cellStyle name="40% - Accent4 13" xfId="617" xr:uid="{00000000-0005-0000-0000-000068020000}"/>
    <cellStyle name="40% - Accent4 14" xfId="618" xr:uid="{00000000-0005-0000-0000-000069020000}"/>
    <cellStyle name="40% - Accent4 15" xfId="619" xr:uid="{00000000-0005-0000-0000-00006A020000}"/>
    <cellStyle name="40% - Accent4 2" xfId="620" xr:uid="{00000000-0005-0000-0000-00006B020000}"/>
    <cellStyle name="40% - Accent4 2 2" xfId="621" xr:uid="{00000000-0005-0000-0000-00006C020000}"/>
    <cellStyle name="40% - Accent4 2 2 2" xfId="622" xr:uid="{00000000-0005-0000-0000-00006D020000}"/>
    <cellStyle name="40% - Accent4 2 3" xfId="623" xr:uid="{00000000-0005-0000-0000-00006E020000}"/>
    <cellStyle name="40% - Accent4 2 3 2" xfId="624" xr:uid="{00000000-0005-0000-0000-00006F020000}"/>
    <cellStyle name="40% - Accent4 2 3 2 2" xfId="625" xr:uid="{00000000-0005-0000-0000-000070020000}"/>
    <cellStyle name="40% - Accent4 2 3 3" xfId="626" xr:uid="{00000000-0005-0000-0000-000071020000}"/>
    <cellStyle name="40% - Accent4 2 3 4" xfId="627" xr:uid="{00000000-0005-0000-0000-000072020000}"/>
    <cellStyle name="40% - Accent4 2 3 5" xfId="628" xr:uid="{00000000-0005-0000-0000-000073020000}"/>
    <cellStyle name="40% - Accent4 2 3 6" xfId="629" xr:uid="{00000000-0005-0000-0000-000074020000}"/>
    <cellStyle name="40% - Accent4 2 4" xfId="630" xr:uid="{00000000-0005-0000-0000-000075020000}"/>
    <cellStyle name="40% - Accent4 2 4 2" xfId="631" xr:uid="{00000000-0005-0000-0000-000076020000}"/>
    <cellStyle name="40% - Accent4 2 4 3" xfId="632" xr:uid="{00000000-0005-0000-0000-000077020000}"/>
    <cellStyle name="40% - Accent4 2 4 4" xfId="633" xr:uid="{00000000-0005-0000-0000-000078020000}"/>
    <cellStyle name="40% - Accent4 2 4 5" xfId="634" xr:uid="{00000000-0005-0000-0000-000079020000}"/>
    <cellStyle name="40% - Accent4 2 5" xfId="635" xr:uid="{00000000-0005-0000-0000-00007A020000}"/>
    <cellStyle name="40% - Accent4 2 5 2" xfId="636" xr:uid="{00000000-0005-0000-0000-00007B020000}"/>
    <cellStyle name="40% - Accent4 2 5 3" xfId="637" xr:uid="{00000000-0005-0000-0000-00007C020000}"/>
    <cellStyle name="40% - Accent4 2 6" xfId="638" xr:uid="{00000000-0005-0000-0000-00007D020000}"/>
    <cellStyle name="40% - Accent4 3" xfId="639" xr:uid="{00000000-0005-0000-0000-00007E020000}"/>
    <cellStyle name="40% - Accent4 3 2" xfId="640" xr:uid="{00000000-0005-0000-0000-00007F020000}"/>
    <cellStyle name="40% - Accent4 3 3" xfId="641" xr:uid="{00000000-0005-0000-0000-000080020000}"/>
    <cellStyle name="40% - Accent4 3 4" xfId="642" xr:uid="{00000000-0005-0000-0000-000081020000}"/>
    <cellStyle name="40% - Accent4 3 5" xfId="643" xr:uid="{00000000-0005-0000-0000-000082020000}"/>
    <cellStyle name="40% - Accent4 4" xfId="644" xr:uid="{00000000-0005-0000-0000-000083020000}"/>
    <cellStyle name="40% - Accent4 4 2" xfId="645" xr:uid="{00000000-0005-0000-0000-000084020000}"/>
    <cellStyle name="40% - Accent4 4 2 2" xfId="646" xr:uid="{00000000-0005-0000-0000-000085020000}"/>
    <cellStyle name="40% - Accent4 4 2 3" xfId="647" xr:uid="{00000000-0005-0000-0000-000086020000}"/>
    <cellStyle name="40% - Accent4 4 2 4" xfId="648" xr:uid="{00000000-0005-0000-0000-000087020000}"/>
    <cellStyle name="40% - Accent4 4 3" xfId="649" xr:uid="{00000000-0005-0000-0000-000088020000}"/>
    <cellStyle name="40% - Accent4 4 3 2" xfId="650" xr:uid="{00000000-0005-0000-0000-000089020000}"/>
    <cellStyle name="40% - Accent4 4 3 3" xfId="651" xr:uid="{00000000-0005-0000-0000-00008A020000}"/>
    <cellStyle name="40% - Accent4 4 3 4" xfId="652" xr:uid="{00000000-0005-0000-0000-00008B020000}"/>
    <cellStyle name="40% - Accent4 4 4" xfId="653" xr:uid="{00000000-0005-0000-0000-00008C020000}"/>
    <cellStyle name="40% - Accent4 5" xfId="654" xr:uid="{00000000-0005-0000-0000-00008D020000}"/>
    <cellStyle name="40% - Accent4 5 2" xfId="655" xr:uid="{00000000-0005-0000-0000-00008E020000}"/>
    <cellStyle name="40% - Accent4 5 2 2" xfId="656" xr:uid="{00000000-0005-0000-0000-00008F020000}"/>
    <cellStyle name="40% - Accent4 5 2 3" xfId="657" xr:uid="{00000000-0005-0000-0000-000090020000}"/>
    <cellStyle name="40% - Accent4 5 3" xfId="658" xr:uid="{00000000-0005-0000-0000-000091020000}"/>
    <cellStyle name="40% - Accent4 5 3 2" xfId="659" xr:uid="{00000000-0005-0000-0000-000092020000}"/>
    <cellStyle name="40% - Accent4 5 3 3" xfId="660" xr:uid="{00000000-0005-0000-0000-000093020000}"/>
    <cellStyle name="40% - Accent4 5 4" xfId="661" xr:uid="{00000000-0005-0000-0000-000094020000}"/>
    <cellStyle name="40% - Accent4 5 4 2" xfId="662" xr:uid="{00000000-0005-0000-0000-000095020000}"/>
    <cellStyle name="40% - Accent4 5 4 2 2" xfId="663" xr:uid="{00000000-0005-0000-0000-000096020000}"/>
    <cellStyle name="40% - Accent4 5 4 3" xfId="664" xr:uid="{00000000-0005-0000-0000-000097020000}"/>
    <cellStyle name="40% - Accent4 5 4 3 2" xfId="665" xr:uid="{00000000-0005-0000-0000-000098020000}"/>
    <cellStyle name="40% - Accent4 6" xfId="666" xr:uid="{00000000-0005-0000-0000-000099020000}"/>
    <cellStyle name="40% - Accent4 6 2" xfId="667" xr:uid="{00000000-0005-0000-0000-00009A020000}"/>
    <cellStyle name="40% - Accent4 6 3" xfId="668" xr:uid="{00000000-0005-0000-0000-00009B020000}"/>
    <cellStyle name="40% - Accent4 6 4" xfId="669" xr:uid="{00000000-0005-0000-0000-00009C020000}"/>
    <cellStyle name="40% - Accent4 7" xfId="670" xr:uid="{00000000-0005-0000-0000-00009D020000}"/>
    <cellStyle name="40% - Accent4 7 2" xfId="671" xr:uid="{00000000-0005-0000-0000-00009E020000}"/>
    <cellStyle name="40% - Accent4 7 3" xfId="672" xr:uid="{00000000-0005-0000-0000-00009F020000}"/>
    <cellStyle name="40% - Accent4 8" xfId="673" xr:uid="{00000000-0005-0000-0000-0000A0020000}"/>
    <cellStyle name="40% - Accent4 8 2" xfId="674" xr:uid="{00000000-0005-0000-0000-0000A1020000}"/>
    <cellStyle name="40% - Accent4 9" xfId="675" xr:uid="{00000000-0005-0000-0000-0000A2020000}"/>
    <cellStyle name="40% - Accent4 9 2" xfId="676" xr:uid="{00000000-0005-0000-0000-0000A3020000}"/>
    <cellStyle name="40% - Accent4 9 3" xfId="677" xr:uid="{00000000-0005-0000-0000-0000A4020000}"/>
    <cellStyle name="40% - Accent4 9 3 2" xfId="678" xr:uid="{00000000-0005-0000-0000-0000A5020000}"/>
    <cellStyle name="40% - Accent4 9 4" xfId="679" xr:uid="{00000000-0005-0000-0000-0000A6020000}"/>
    <cellStyle name="40% - Accent4 9 4 2" xfId="680" xr:uid="{00000000-0005-0000-0000-0000A7020000}"/>
    <cellStyle name="40% - Accent5" xfId="681" builtinId="47" customBuiltin="1"/>
    <cellStyle name="40% - Accent5 10" xfId="682" xr:uid="{00000000-0005-0000-0000-0000A9020000}"/>
    <cellStyle name="40% - Accent5 11" xfId="683" xr:uid="{00000000-0005-0000-0000-0000AA020000}"/>
    <cellStyle name="40% - Accent5 12" xfId="684" xr:uid="{00000000-0005-0000-0000-0000AB020000}"/>
    <cellStyle name="40% - Accent5 13" xfId="685" xr:uid="{00000000-0005-0000-0000-0000AC020000}"/>
    <cellStyle name="40% - Accent5 14" xfId="686" xr:uid="{00000000-0005-0000-0000-0000AD020000}"/>
    <cellStyle name="40% - Accent5 15" xfId="687" xr:uid="{00000000-0005-0000-0000-0000AE020000}"/>
    <cellStyle name="40% - Accent5 2" xfId="688" xr:uid="{00000000-0005-0000-0000-0000AF020000}"/>
    <cellStyle name="40% - Accent5 2 2" xfId="689" xr:uid="{00000000-0005-0000-0000-0000B0020000}"/>
    <cellStyle name="40% - Accent5 2 2 2" xfId="690" xr:uid="{00000000-0005-0000-0000-0000B1020000}"/>
    <cellStyle name="40% - Accent5 2 3" xfId="691" xr:uid="{00000000-0005-0000-0000-0000B2020000}"/>
    <cellStyle name="40% - Accent5 2 3 2" xfId="692" xr:uid="{00000000-0005-0000-0000-0000B3020000}"/>
    <cellStyle name="40% - Accent5 2 3 2 2" xfId="693" xr:uid="{00000000-0005-0000-0000-0000B4020000}"/>
    <cellStyle name="40% - Accent5 2 3 3" xfId="694" xr:uid="{00000000-0005-0000-0000-0000B5020000}"/>
    <cellStyle name="40% - Accent5 2 3 4" xfId="695" xr:uid="{00000000-0005-0000-0000-0000B6020000}"/>
    <cellStyle name="40% - Accent5 2 3 5" xfId="696" xr:uid="{00000000-0005-0000-0000-0000B7020000}"/>
    <cellStyle name="40% - Accent5 2 3 6" xfId="697" xr:uid="{00000000-0005-0000-0000-0000B8020000}"/>
    <cellStyle name="40% - Accent5 2 4" xfId="698" xr:uid="{00000000-0005-0000-0000-0000B9020000}"/>
    <cellStyle name="40% - Accent5 2 4 2" xfId="699" xr:uid="{00000000-0005-0000-0000-0000BA020000}"/>
    <cellStyle name="40% - Accent5 2 4 3" xfId="700" xr:uid="{00000000-0005-0000-0000-0000BB020000}"/>
    <cellStyle name="40% - Accent5 2 4 4" xfId="701" xr:uid="{00000000-0005-0000-0000-0000BC020000}"/>
    <cellStyle name="40% - Accent5 2 4 5" xfId="702" xr:uid="{00000000-0005-0000-0000-0000BD020000}"/>
    <cellStyle name="40% - Accent5 2 5" xfId="703" xr:uid="{00000000-0005-0000-0000-0000BE020000}"/>
    <cellStyle name="40% - Accent5 2 5 2" xfId="704" xr:uid="{00000000-0005-0000-0000-0000BF020000}"/>
    <cellStyle name="40% - Accent5 2 5 3" xfId="705" xr:uid="{00000000-0005-0000-0000-0000C0020000}"/>
    <cellStyle name="40% - Accent5 2 6" xfId="706" xr:uid="{00000000-0005-0000-0000-0000C1020000}"/>
    <cellStyle name="40% - Accent5 3" xfId="707" xr:uid="{00000000-0005-0000-0000-0000C2020000}"/>
    <cellStyle name="40% - Accent5 3 2" xfId="708" xr:uid="{00000000-0005-0000-0000-0000C3020000}"/>
    <cellStyle name="40% - Accent5 3 3" xfId="709" xr:uid="{00000000-0005-0000-0000-0000C4020000}"/>
    <cellStyle name="40% - Accent5 3 4" xfId="710" xr:uid="{00000000-0005-0000-0000-0000C5020000}"/>
    <cellStyle name="40% - Accent5 3 5" xfId="711" xr:uid="{00000000-0005-0000-0000-0000C6020000}"/>
    <cellStyle name="40% - Accent5 4" xfId="712" xr:uid="{00000000-0005-0000-0000-0000C7020000}"/>
    <cellStyle name="40% - Accent5 4 2" xfId="713" xr:uid="{00000000-0005-0000-0000-0000C8020000}"/>
    <cellStyle name="40% - Accent5 4 2 2" xfId="714" xr:uid="{00000000-0005-0000-0000-0000C9020000}"/>
    <cellStyle name="40% - Accent5 4 2 3" xfId="715" xr:uid="{00000000-0005-0000-0000-0000CA020000}"/>
    <cellStyle name="40% - Accent5 4 2 4" xfId="716" xr:uid="{00000000-0005-0000-0000-0000CB020000}"/>
    <cellStyle name="40% - Accent5 4 3" xfId="717" xr:uid="{00000000-0005-0000-0000-0000CC020000}"/>
    <cellStyle name="40% - Accent5 4 3 2" xfId="718" xr:uid="{00000000-0005-0000-0000-0000CD020000}"/>
    <cellStyle name="40% - Accent5 4 3 3" xfId="719" xr:uid="{00000000-0005-0000-0000-0000CE020000}"/>
    <cellStyle name="40% - Accent5 4 3 4" xfId="720" xr:uid="{00000000-0005-0000-0000-0000CF020000}"/>
    <cellStyle name="40% - Accent5 4 4" xfId="721" xr:uid="{00000000-0005-0000-0000-0000D0020000}"/>
    <cellStyle name="40% - Accent5 5" xfId="722" xr:uid="{00000000-0005-0000-0000-0000D1020000}"/>
    <cellStyle name="40% - Accent5 5 2" xfId="723" xr:uid="{00000000-0005-0000-0000-0000D2020000}"/>
    <cellStyle name="40% - Accent5 5 2 2" xfId="724" xr:uid="{00000000-0005-0000-0000-0000D3020000}"/>
    <cellStyle name="40% - Accent5 5 2 3" xfId="725" xr:uid="{00000000-0005-0000-0000-0000D4020000}"/>
    <cellStyle name="40% - Accent5 5 3" xfId="726" xr:uid="{00000000-0005-0000-0000-0000D5020000}"/>
    <cellStyle name="40% - Accent5 5 3 2" xfId="727" xr:uid="{00000000-0005-0000-0000-0000D6020000}"/>
    <cellStyle name="40% - Accent5 5 3 3" xfId="728" xr:uid="{00000000-0005-0000-0000-0000D7020000}"/>
    <cellStyle name="40% - Accent5 5 4" xfId="729" xr:uid="{00000000-0005-0000-0000-0000D8020000}"/>
    <cellStyle name="40% - Accent5 5 4 2" xfId="730" xr:uid="{00000000-0005-0000-0000-0000D9020000}"/>
    <cellStyle name="40% - Accent5 5 4 2 2" xfId="731" xr:uid="{00000000-0005-0000-0000-0000DA020000}"/>
    <cellStyle name="40% - Accent5 5 4 3" xfId="732" xr:uid="{00000000-0005-0000-0000-0000DB020000}"/>
    <cellStyle name="40% - Accent5 5 4 3 2" xfId="733" xr:uid="{00000000-0005-0000-0000-0000DC020000}"/>
    <cellStyle name="40% - Accent5 6" xfId="734" xr:uid="{00000000-0005-0000-0000-0000DD020000}"/>
    <cellStyle name="40% - Accent5 6 2" xfId="735" xr:uid="{00000000-0005-0000-0000-0000DE020000}"/>
    <cellStyle name="40% - Accent5 6 3" xfId="736" xr:uid="{00000000-0005-0000-0000-0000DF020000}"/>
    <cellStyle name="40% - Accent5 6 4" xfId="737" xr:uid="{00000000-0005-0000-0000-0000E0020000}"/>
    <cellStyle name="40% - Accent5 7" xfId="738" xr:uid="{00000000-0005-0000-0000-0000E1020000}"/>
    <cellStyle name="40% - Accent5 7 2" xfId="739" xr:uid="{00000000-0005-0000-0000-0000E2020000}"/>
    <cellStyle name="40% - Accent5 7 3" xfId="740" xr:uid="{00000000-0005-0000-0000-0000E3020000}"/>
    <cellStyle name="40% - Accent5 8" xfId="741" xr:uid="{00000000-0005-0000-0000-0000E4020000}"/>
    <cellStyle name="40% - Accent5 8 2" xfId="742" xr:uid="{00000000-0005-0000-0000-0000E5020000}"/>
    <cellStyle name="40% - Accent5 9" xfId="743" xr:uid="{00000000-0005-0000-0000-0000E6020000}"/>
    <cellStyle name="40% - Accent5 9 2" xfId="744" xr:uid="{00000000-0005-0000-0000-0000E7020000}"/>
    <cellStyle name="40% - Accent5 9 3" xfId="745" xr:uid="{00000000-0005-0000-0000-0000E8020000}"/>
    <cellStyle name="40% - Accent5 9 3 2" xfId="746" xr:uid="{00000000-0005-0000-0000-0000E9020000}"/>
    <cellStyle name="40% - Accent5 9 4" xfId="747" xr:uid="{00000000-0005-0000-0000-0000EA020000}"/>
    <cellStyle name="40% - Accent5 9 4 2" xfId="748" xr:uid="{00000000-0005-0000-0000-0000EB020000}"/>
    <cellStyle name="40% - Accent6" xfId="749" builtinId="51" customBuiltin="1"/>
    <cellStyle name="40% - Accent6 10" xfId="750" xr:uid="{00000000-0005-0000-0000-0000ED020000}"/>
    <cellStyle name="40% - Accent6 11" xfId="751" xr:uid="{00000000-0005-0000-0000-0000EE020000}"/>
    <cellStyle name="40% - Accent6 12" xfId="752" xr:uid="{00000000-0005-0000-0000-0000EF020000}"/>
    <cellStyle name="40% - Accent6 13" xfId="753" xr:uid="{00000000-0005-0000-0000-0000F0020000}"/>
    <cellStyle name="40% - Accent6 14" xfId="754" xr:uid="{00000000-0005-0000-0000-0000F1020000}"/>
    <cellStyle name="40% - Accent6 15" xfId="755" xr:uid="{00000000-0005-0000-0000-0000F2020000}"/>
    <cellStyle name="40% - Accent6 2" xfId="756" xr:uid="{00000000-0005-0000-0000-0000F3020000}"/>
    <cellStyle name="40% - Accent6 2 2" xfId="757" xr:uid="{00000000-0005-0000-0000-0000F4020000}"/>
    <cellStyle name="40% - Accent6 2 2 2" xfId="758" xr:uid="{00000000-0005-0000-0000-0000F5020000}"/>
    <cellStyle name="40% - Accent6 2 3" xfId="759" xr:uid="{00000000-0005-0000-0000-0000F6020000}"/>
    <cellStyle name="40% - Accent6 2 3 2" xfId="760" xr:uid="{00000000-0005-0000-0000-0000F7020000}"/>
    <cellStyle name="40% - Accent6 2 3 2 2" xfId="761" xr:uid="{00000000-0005-0000-0000-0000F8020000}"/>
    <cellStyle name="40% - Accent6 2 3 3" xfId="762" xr:uid="{00000000-0005-0000-0000-0000F9020000}"/>
    <cellStyle name="40% - Accent6 2 3 4" xfId="763" xr:uid="{00000000-0005-0000-0000-0000FA020000}"/>
    <cellStyle name="40% - Accent6 2 3 5" xfId="764" xr:uid="{00000000-0005-0000-0000-0000FB020000}"/>
    <cellStyle name="40% - Accent6 2 3 6" xfId="765" xr:uid="{00000000-0005-0000-0000-0000FC020000}"/>
    <cellStyle name="40% - Accent6 2 4" xfId="766" xr:uid="{00000000-0005-0000-0000-0000FD020000}"/>
    <cellStyle name="40% - Accent6 2 4 2" xfId="767" xr:uid="{00000000-0005-0000-0000-0000FE020000}"/>
    <cellStyle name="40% - Accent6 2 4 3" xfId="768" xr:uid="{00000000-0005-0000-0000-0000FF020000}"/>
    <cellStyle name="40% - Accent6 2 4 4" xfId="769" xr:uid="{00000000-0005-0000-0000-000000030000}"/>
    <cellStyle name="40% - Accent6 2 4 5" xfId="770" xr:uid="{00000000-0005-0000-0000-000001030000}"/>
    <cellStyle name="40% - Accent6 2 5" xfId="771" xr:uid="{00000000-0005-0000-0000-000002030000}"/>
    <cellStyle name="40% - Accent6 2 5 2" xfId="772" xr:uid="{00000000-0005-0000-0000-000003030000}"/>
    <cellStyle name="40% - Accent6 2 5 3" xfId="773" xr:uid="{00000000-0005-0000-0000-000004030000}"/>
    <cellStyle name="40% - Accent6 2 6" xfId="774" xr:uid="{00000000-0005-0000-0000-000005030000}"/>
    <cellStyle name="40% - Accent6 3" xfId="775" xr:uid="{00000000-0005-0000-0000-000006030000}"/>
    <cellStyle name="40% - Accent6 3 2" xfId="776" xr:uid="{00000000-0005-0000-0000-000007030000}"/>
    <cellStyle name="40% - Accent6 3 3" xfId="777" xr:uid="{00000000-0005-0000-0000-000008030000}"/>
    <cellStyle name="40% - Accent6 3 4" xfId="778" xr:uid="{00000000-0005-0000-0000-000009030000}"/>
    <cellStyle name="40% - Accent6 3 5" xfId="779" xr:uid="{00000000-0005-0000-0000-00000A030000}"/>
    <cellStyle name="40% - Accent6 4" xfId="780" xr:uid="{00000000-0005-0000-0000-00000B030000}"/>
    <cellStyle name="40% - Accent6 4 2" xfId="781" xr:uid="{00000000-0005-0000-0000-00000C030000}"/>
    <cellStyle name="40% - Accent6 4 2 2" xfId="782" xr:uid="{00000000-0005-0000-0000-00000D030000}"/>
    <cellStyle name="40% - Accent6 4 2 3" xfId="783" xr:uid="{00000000-0005-0000-0000-00000E030000}"/>
    <cellStyle name="40% - Accent6 4 2 4" xfId="784" xr:uid="{00000000-0005-0000-0000-00000F030000}"/>
    <cellStyle name="40% - Accent6 4 3" xfId="785" xr:uid="{00000000-0005-0000-0000-000010030000}"/>
    <cellStyle name="40% - Accent6 4 3 2" xfId="786" xr:uid="{00000000-0005-0000-0000-000011030000}"/>
    <cellStyle name="40% - Accent6 4 3 3" xfId="787" xr:uid="{00000000-0005-0000-0000-000012030000}"/>
    <cellStyle name="40% - Accent6 4 3 4" xfId="788" xr:uid="{00000000-0005-0000-0000-000013030000}"/>
    <cellStyle name="40% - Accent6 4 4" xfId="789" xr:uid="{00000000-0005-0000-0000-000014030000}"/>
    <cellStyle name="40% - Accent6 5" xfId="790" xr:uid="{00000000-0005-0000-0000-000015030000}"/>
    <cellStyle name="40% - Accent6 5 2" xfId="791" xr:uid="{00000000-0005-0000-0000-000016030000}"/>
    <cellStyle name="40% - Accent6 5 2 2" xfId="792" xr:uid="{00000000-0005-0000-0000-000017030000}"/>
    <cellStyle name="40% - Accent6 5 2 3" xfId="793" xr:uid="{00000000-0005-0000-0000-000018030000}"/>
    <cellStyle name="40% - Accent6 5 3" xfId="794" xr:uid="{00000000-0005-0000-0000-000019030000}"/>
    <cellStyle name="40% - Accent6 5 3 2" xfId="795" xr:uid="{00000000-0005-0000-0000-00001A030000}"/>
    <cellStyle name="40% - Accent6 5 3 3" xfId="796" xr:uid="{00000000-0005-0000-0000-00001B030000}"/>
    <cellStyle name="40% - Accent6 5 4" xfId="797" xr:uid="{00000000-0005-0000-0000-00001C030000}"/>
    <cellStyle name="40% - Accent6 5 4 2" xfId="798" xr:uid="{00000000-0005-0000-0000-00001D030000}"/>
    <cellStyle name="40% - Accent6 5 4 2 2" xfId="799" xr:uid="{00000000-0005-0000-0000-00001E030000}"/>
    <cellStyle name="40% - Accent6 5 4 3" xfId="800" xr:uid="{00000000-0005-0000-0000-00001F030000}"/>
    <cellStyle name="40% - Accent6 5 4 3 2" xfId="801" xr:uid="{00000000-0005-0000-0000-000020030000}"/>
    <cellStyle name="40% - Accent6 6" xfId="802" xr:uid="{00000000-0005-0000-0000-000021030000}"/>
    <cellStyle name="40% - Accent6 6 2" xfId="803" xr:uid="{00000000-0005-0000-0000-000022030000}"/>
    <cellStyle name="40% - Accent6 6 3" xfId="804" xr:uid="{00000000-0005-0000-0000-000023030000}"/>
    <cellStyle name="40% - Accent6 6 4" xfId="805" xr:uid="{00000000-0005-0000-0000-000024030000}"/>
    <cellStyle name="40% - Accent6 7" xfId="806" xr:uid="{00000000-0005-0000-0000-000025030000}"/>
    <cellStyle name="40% - Accent6 7 2" xfId="807" xr:uid="{00000000-0005-0000-0000-000026030000}"/>
    <cellStyle name="40% - Accent6 7 3" xfId="808" xr:uid="{00000000-0005-0000-0000-000027030000}"/>
    <cellStyle name="40% - Accent6 8" xfId="809" xr:uid="{00000000-0005-0000-0000-000028030000}"/>
    <cellStyle name="40% - Accent6 8 2" xfId="810" xr:uid="{00000000-0005-0000-0000-000029030000}"/>
    <cellStyle name="40% - Accent6 9" xfId="811" xr:uid="{00000000-0005-0000-0000-00002A030000}"/>
    <cellStyle name="40% - Accent6 9 2" xfId="812" xr:uid="{00000000-0005-0000-0000-00002B030000}"/>
    <cellStyle name="40% - Accent6 9 3" xfId="813" xr:uid="{00000000-0005-0000-0000-00002C030000}"/>
    <cellStyle name="40% - Accent6 9 3 2" xfId="814" xr:uid="{00000000-0005-0000-0000-00002D030000}"/>
    <cellStyle name="40% - Accent6 9 4" xfId="815" xr:uid="{00000000-0005-0000-0000-00002E030000}"/>
    <cellStyle name="40% - Accent6 9 4 2" xfId="816" xr:uid="{00000000-0005-0000-0000-00002F030000}"/>
    <cellStyle name="60% - Accent1" xfId="817" builtinId="32" customBuiltin="1"/>
    <cellStyle name="60% - Accent1 10" xfId="818" xr:uid="{00000000-0005-0000-0000-000031030000}"/>
    <cellStyle name="60% - Accent1 10 2" xfId="819" xr:uid="{00000000-0005-0000-0000-000032030000}"/>
    <cellStyle name="60% - Accent1 10 3" xfId="820" xr:uid="{00000000-0005-0000-0000-000033030000}"/>
    <cellStyle name="60% - Accent1 11" xfId="821" xr:uid="{00000000-0005-0000-0000-000034030000}"/>
    <cellStyle name="60% - Accent1 12" xfId="822" xr:uid="{00000000-0005-0000-0000-000035030000}"/>
    <cellStyle name="60% - Accent1 13" xfId="823" xr:uid="{00000000-0005-0000-0000-000036030000}"/>
    <cellStyle name="60% - Accent1 14" xfId="824" xr:uid="{00000000-0005-0000-0000-000037030000}"/>
    <cellStyle name="60% - Accent1 2" xfId="825" xr:uid="{00000000-0005-0000-0000-000038030000}"/>
    <cellStyle name="60% - Accent1 2 2" xfId="826" xr:uid="{00000000-0005-0000-0000-000039030000}"/>
    <cellStyle name="60% - Accent1 2 2 2" xfId="827" xr:uid="{00000000-0005-0000-0000-00003A030000}"/>
    <cellStyle name="60% - Accent1 2 2 3" xfId="828" xr:uid="{00000000-0005-0000-0000-00003B030000}"/>
    <cellStyle name="60% - Accent1 2 2 4" xfId="829" xr:uid="{00000000-0005-0000-0000-00003C030000}"/>
    <cellStyle name="60% - Accent1 2 2 5" xfId="830" xr:uid="{00000000-0005-0000-0000-00003D030000}"/>
    <cellStyle name="60% - Accent1 2 3" xfId="831" xr:uid="{00000000-0005-0000-0000-00003E030000}"/>
    <cellStyle name="60% - Accent1 2 3 2" xfId="832" xr:uid="{00000000-0005-0000-0000-00003F030000}"/>
    <cellStyle name="60% - Accent1 2 3 3" xfId="833" xr:uid="{00000000-0005-0000-0000-000040030000}"/>
    <cellStyle name="60% - Accent1 2 4" xfId="834" xr:uid="{00000000-0005-0000-0000-000041030000}"/>
    <cellStyle name="60% - Accent1 2 5" xfId="835" xr:uid="{00000000-0005-0000-0000-000042030000}"/>
    <cellStyle name="60% - Accent1 3" xfId="836" xr:uid="{00000000-0005-0000-0000-000043030000}"/>
    <cellStyle name="60% - Accent1 3 2" xfId="837" xr:uid="{00000000-0005-0000-0000-000044030000}"/>
    <cellStyle name="60% - Accent1 3 3" xfId="838" xr:uid="{00000000-0005-0000-0000-000045030000}"/>
    <cellStyle name="60% - Accent1 3 4" xfId="839" xr:uid="{00000000-0005-0000-0000-000046030000}"/>
    <cellStyle name="60% - Accent1 4" xfId="840" xr:uid="{00000000-0005-0000-0000-000047030000}"/>
    <cellStyle name="60% - Accent1 4 2" xfId="841" xr:uid="{00000000-0005-0000-0000-000048030000}"/>
    <cellStyle name="60% - Accent1 4 3" xfId="842" xr:uid="{00000000-0005-0000-0000-000049030000}"/>
    <cellStyle name="60% - Accent1 4 4" xfId="843" xr:uid="{00000000-0005-0000-0000-00004A030000}"/>
    <cellStyle name="60% - Accent1 5" xfId="844" xr:uid="{00000000-0005-0000-0000-00004B030000}"/>
    <cellStyle name="60% - Accent1 5 2" xfId="845" xr:uid="{00000000-0005-0000-0000-00004C030000}"/>
    <cellStyle name="60% - Accent1 5 2 2" xfId="846" xr:uid="{00000000-0005-0000-0000-00004D030000}"/>
    <cellStyle name="60% - Accent1 5 2 3" xfId="847" xr:uid="{00000000-0005-0000-0000-00004E030000}"/>
    <cellStyle name="60% - Accent1 5 2 4" xfId="848" xr:uid="{00000000-0005-0000-0000-00004F030000}"/>
    <cellStyle name="60% - Accent1 5 3" xfId="849" xr:uid="{00000000-0005-0000-0000-000050030000}"/>
    <cellStyle name="60% - Accent1 5 3 2" xfId="850" xr:uid="{00000000-0005-0000-0000-000051030000}"/>
    <cellStyle name="60% - Accent1 5 3 3" xfId="851" xr:uid="{00000000-0005-0000-0000-000052030000}"/>
    <cellStyle name="60% - Accent1 5 4" xfId="852" xr:uid="{00000000-0005-0000-0000-000053030000}"/>
    <cellStyle name="60% - Accent1 5 4 2" xfId="853" xr:uid="{00000000-0005-0000-0000-000054030000}"/>
    <cellStyle name="60% - Accent1 5 4 2 2" xfId="854" xr:uid="{00000000-0005-0000-0000-000055030000}"/>
    <cellStyle name="60% - Accent1 5 4 3" xfId="855" xr:uid="{00000000-0005-0000-0000-000056030000}"/>
    <cellStyle name="60% - Accent1 5 4 3 2" xfId="856" xr:uid="{00000000-0005-0000-0000-000057030000}"/>
    <cellStyle name="60% - Accent1 6" xfId="857" xr:uid="{00000000-0005-0000-0000-000058030000}"/>
    <cellStyle name="60% - Accent1 6 2" xfId="858" xr:uid="{00000000-0005-0000-0000-000059030000}"/>
    <cellStyle name="60% - Accent1 6 3" xfId="859" xr:uid="{00000000-0005-0000-0000-00005A030000}"/>
    <cellStyle name="60% - Accent1 7" xfId="860" xr:uid="{00000000-0005-0000-0000-00005B030000}"/>
    <cellStyle name="60% - Accent1 7 2" xfId="861" xr:uid="{00000000-0005-0000-0000-00005C030000}"/>
    <cellStyle name="60% - Accent1 8" xfId="862" xr:uid="{00000000-0005-0000-0000-00005D030000}"/>
    <cellStyle name="60% - Accent1 9" xfId="863" xr:uid="{00000000-0005-0000-0000-00005E030000}"/>
    <cellStyle name="60% - Accent1 9 2" xfId="864" xr:uid="{00000000-0005-0000-0000-00005F030000}"/>
    <cellStyle name="60% - Accent1 9 2 2" xfId="865" xr:uid="{00000000-0005-0000-0000-000060030000}"/>
    <cellStyle name="60% - Accent1 9 3" xfId="866" xr:uid="{00000000-0005-0000-0000-000061030000}"/>
    <cellStyle name="60% - Accent1 9 3 2" xfId="867" xr:uid="{00000000-0005-0000-0000-000062030000}"/>
    <cellStyle name="60% - Accent2" xfId="868" builtinId="36" customBuiltin="1"/>
    <cellStyle name="60% - Accent2 10" xfId="869" xr:uid="{00000000-0005-0000-0000-000064030000}"/>
    <cellStyle name="60% - Accent2 10 2" xfId="870" xr:uid="{00000000-0005-0000-0000-000065030000}"/>
    <cellStyle name="60% - Accent2 10 3" xfId="871" xr:uid="{00000000-0005-0000-0000-000066030000}"/>
    <cellStyle name="60% - Accent2 11" xfId="872" xr:uid="{00000000-0005-0000-0000-000067030000}"/>
    <cellStyle name="60% - Accent2 12" xfId="873" xr:uid="{00000000-0005-0000-0000-000068030000}"/>
    <cellStyle name="60% - Accent2 13" xfId="874" xr:uid="{00000000-0005-0000-0000-000069030000}"/>
    <cellStyle name="60% - Accent2 14" xfId="875" xr:uid="{00000000-0005-0000-0000-00006A030000}"/>
    <cellStyle name="60% - Accent2 2" xfId="876" xr:uid="{00000000-0005-0000-0000-00006B030000}"/>
    <cellStyle name="60% - Accent2 2 2" xfId="877" xr:uid="{00000000-0005-0000-0000-00006C030000}"/>
    <cellStyle name="60% - Accent2 2 2 2" xfId="878" xr:uid="{00000000-0005-0000-0000-00006D030000}"/>
    <cellStyle name="60% - Accent2 2 2 3" xfId="879" xr:uid="{00000000-0005-0000-0000-00006E030000}"/>
    <cellStyle name="60% - Accent2 2 2 4" xfId="880" xr:uid="{00000000-0005-0000-0000-00006F030000}"/>
    <cellStyle name="60% - Accent2 2 2 5" xfId="881" xr:uid="{00000000-0005-0000-0000-000070030000}"/>
    <cellStyle name="60% - Accent2 2 3" xfId="882" xr:uid="{00000000-0005-0000-0000-000071030000}"/>
    <cellStyle name="60% - Accent2 2 3 2" xfId="883" xr:uid="{00000000-0005-0000-0000-000072030000}"/>
    <cellStyle name="60% - Accent2 2 3 3" xfId="884" xr:uid="{00000000-0005-0000-0000-000073030000}"/>
    <cellStyle name="60% - Accent2 2 4" xfId="885" xr:uid="{00000000-0005-0000-0000-000074030000}"/>
    <cellStyle name="60% - Accent2 2 5" xfId="886" xr:uid="{00000000-0005-0000-0000-000075030000}"/>
    <cellStyle name="60% - Accent2 3" xfId="887" xr:uid="{00000000-0005-0000-0000-000076030000}"/>
    <cellStyle name="60% - Accent2 3 2" xfId="888" xr:uid="{00000000-0005-0000-0000-000077030000}"/>
    <cellStyle name="60% - Accent2 3 3" xfId="889" xr:uid="{00000000-0005-0000-0000-000078030000}"/>
    <cellStyle name="60% - Accent2 3 4" xfId="890" xr:uid="{00000000-0005-0000-0000-000079030000}"/>
    <cellStyle name="60% - Accent2 4" xfId="891" xr:uid="{00000000-0005-0000-0000-00007A030000}"/>
    <cellStyle name="60% - Accent2 4 2" xfId="892" xr:uid="{00000000-0005-0000-0000-00007B030000}"/>
    <cellStyle name="60% - Accent2 4 3" xfId="893" xr:uid="{00000000-0005-0000-0000-00007C030000}"/>
    <cellStyle name="60% - Accent2 4 4" xfId="894" xr:uid="{00000000-0005-0000-0000-00007D030000}"/>
    <cellStyle name="60% - Accent2 5" xfId="895" xr:uid="{00000000-0005-0000-0000-00007E030000}"/>
    <cellStyle name="60% - Accent2 5 2" xfId="896" xr:uid="{00000000-0005-0000-0000-00007F030000}"/>
    <cellStyle name="60% - Accent2 5 2 2" xfId="897" xr:uid="{00000000-0005-0000-0000-000080030000}"/>
    <cellStyle name="60% - Accent2 5 2 3" xfId="898" xr:uid="{00000000-0005-0000-0000-000081030000}"/>
    <cellStyle name="60% - Accent2 5 2 4" xfId="899" xr:uid="{00000000-0005-0000-0000-000082030000}"/>
    <cellStyle name="60% - Accent2 5 3" xfId="900" xr:uid="{00000000-0005-0000-0000-000083030000}"/>
    <cellStyle name="60% - Accent2 5 3 2" xfId="901" xr:uid="{00000000-0005-0000-0000-000084030000}"/>
    <cellStyle name="60% - Accent2 5 3 3" xfId="902" xr:uid="{00000000-0005-0000-0000-000085030000}"/>
    <cellStyle name="60% - Accent2 5 4" xfId="903" xr:uid="{00000000-0005-0000-0000-000086030000}"/>
    <cellStyle name="60% - Accent2 5 4 2" xfId="904" xr:uid="{00000000-0005-0000-0000-000087030000}"/>
    <cellStyle name="60% - Accent2 5 4 2 2" xfId="905" xr:uid="{00000000-0005-0000-0000-000088030000}"/>
    <cellStyle name="60% - Accent2 5 4 3" xfId="906" xr:uid="{00000000-0005-0000-0000-000089030000}"/>
    <cellStyle name="60% - Accent2 5 4 3 2" xfId="907" xr:uid="{00000000-0005-0000-0000-00008A030000}"/>
    <cellStyle name="60% - Accent2 6" xfId="908" xr:uid="{00000000-0005-0000-0000-00008B030000}"/>
    <cellStyle name="60% - Accent2 6 2" xfId="909" xr:uid="{00000000-0005-0000-0000-00008C030000}"/>
    <cellStyle name="60% - Accent2 6 3" xfId="910" xr:uid="{00000000-0005-0000-0000-00008D030000}"/>
    <cellStyle name="60% - Accent2 7" xfId="911" xr:uid="{00000000-0005-0000-0000-00008E030000}"/>
    <cellStyle name="60% - Accent2 7 2" xfId="912" xr:uid="{00000000-0005-0000-0000-00008F030000}"/>
    <cellStyle name="60% - Accent2 8" xfId="913" xr:uid="{00000000-0005-0000-0000-000090030000}"/>
    <cellStyle name="60% - Accent2 9" xfId="914" xr:uid="{00000000-0005-0000-0000-000091030000}"/>
    <cellStyle name="60% - Accent2 9 2" xfId="915" xr:uid="{00000000-0005-0000-0000-000092030000}"/>
    <cellStyle name="60% - Accent2 9 2 2" xfId="916" xr:uid="{00000000-0005-0000-0000-000093030000}"/>
    <cellStyle name="60% - Accent2 9 3" xfId="917" xr:uid="{00000000-0005-0000-0000-000094030000}"/>
    <cellStyle name="60% - Accent2 9 3 2" xfId="918" xr:uid="{00000000-0005-0000-0000-000095030000}"/>
    <cellStyle name="60% - Accent3" xfId="919" builtinId="40" customBuiltin="1"/>
    <cellStyle name="60% - Accent3 10" xfId="920" xr:uid="{00000000-0005-0000-0000-000097030000}"/>
    <cellStyle name="60% - Accent3 10 2" xfId="921" xr:uid="{00000000-0005-0000-0000-000098030000}"/>
    <cellStyle name="60% - Accent3 10 3" xfId="922" xr:uid="{00000000-0005-0000-0000-000099030000}"/>
    <cellStyle name="60% - Accent3 11" xfId="923" xr:uid="{00000000-0005-0000-0000-00009A030000}"/>
    <cellStyle name="60% - Accent3 12" xfId="924" xr:uid="{00000000-0005-0000-0000-00009B030000}"/>
    <cellStyle name="60% - Accent3 13" xfId="925" xr:uid="{00000000-0005-0000-0000-00009C030000}"/>
    <cellStyle name="60% - Accent3 14" xfId="926" xr:uid="{00000000-0005-0000-0000-00009D030000}"/>
    <cellStyle name="60% - Accent3 2" xfId="927" xr:uid="{00000000-0005-0000-0000-00009E030000}"/>
    <cellStyle name="60% - Accent3 2 2" xfId="928" xr:uid="{00000000-0005-0000-0000-00009F030000}"/>
    <cellStyle name="60% - Accent3 2 2 2" xfId="929" xr:uid="{00000000-0005-0000-0000-0000A0030000}"/>
    <cellStyle name="60% - Accent3 2 2 3" xfId="930" xr:uid="{00000000-0005-0000-0000-0000A1030000}"/>
    <cellStyle name="60% - Accent3 2 2 4" xfId="931" xr:uid="{00000000-0005-0000-0000-0000A2030000}"/>
    <cellStyle name="60% - Accent3 2 2 5" xfId="932" xr:uid="{00000000-0005-0000-0000-0000A3030000}"/>
    <cellStyle name="60% - Accent3 2 3" xfId="933" xr:uid="{00000000-0005-0000-0000-0000A4030000}"/>
    <cellStyle name="60% - Accent3 2 3 2" xfId="934" xr:uid="{00000000-0005-0000-0000-0000A5030000}"/>
    <cellStyle name="60% - Accent3 2 3 3" xfId="935" xr:uid="{00000000-0005-0000-0000-0000A6030000}"/>
    <cellStyle name="60% - Accent3 2 4" xfId="936" xr:uid="{00000000-0005-0000-0000-0000A7030000}"/>
    <cellStyle name="60% - Accent3 2 5" xfId="937" xr:uid="{00000000-0005-0000-0000-0000A8030000}"/>
    <cellStyle name="60% - Accent3 3" xfId="938" xr:uid="{00000000-0005-0000-0000-0000A9030000}"/>
    <cellStyle name="60% - Accent3 3 2" xfId="939" xr:uid="{00000000-0005-0000-0000-0000AA030000}"/>
    <cellStyle name="60% - Accent3 3 3" xfId="940" xr:uid="{00000000-0005-0000-0000-0000AB030000}"/>
    <cellStyle name="60% - Accent3 3 4" xfId="941" xr:uid="{00000000-0005-0000-0000-0000AC030000}"/>
    <cellStyle name="60% - Accent3 4" xfId="942" xr:uid="{00000000-0005-0000-0000-0000AD030000}"/>
    <cellStyle name="60% - Accent3 4 2" xfId="943" xr:uid="{00000000-0005-0000-0000-0000AE030000}"/>
    <cellStyle name="60% - Accent3 4 3" xfId="944" xr:uid="{00000000-0005-0000-0000-0000AF030000}"/>
    <cellStyle name="60% - Accent3 4 4" xfId="945" xr:uid="{00000000-0005-0000-0000-0000B0030000}"/>
    <cellStyle name="60% - Accent3 5" xfId="946" xr:uid="{00000000-0005-0000-0000-0000B1030000}"/>
    <cellStyle name="60% - Accent3 5 2" xfId="947" xr:uid="{00000000-0005-0000-0000-0000B2030000}"/>
    <cellStyle name="60% - Accent3 5 2 2" xfId="948" xr:uid="{00000000-0005-0000-0000-0000B3030000}"/>
    <cellStyle name="60% - Accent3 5 2 3" xfId="949" xr:uid="{00000000-0005-0000-0000-0000B4030000}"/>
    <cellStyle name="60% - Accent3 5 2 4" xfId="950" xr:uid="{00000000-0005-0000-0000-0000B5030000}"/>
    <cellStyle name="60% - Accent3 5 3" xfId="951" xr:uid="{00000000-0005-0000-0000-0000B6030000}"/>
    <cellStyle name="60% - Accent3 5 3 2" xfId="952" xr:uid="{00000000-0005-0000-0000-0000B7030000}"/>
    <cellStyle name="60% - Accent3 5 3 3" xfId="953" xr:uid="{00000000-0005-0000-0000-0000B8030000}"/>
    <cellStyle name="60% - Accent3 5 4" xfId="954" xr:uid="{00000000-0005-0000-0000-0000B9030000}"/>
    <cellStyle name="60% - Accent3 5 4 2" xfId="955" xr:uid="{00000000-0005-0000-0000-0000BA030000}"/>
    <cellStyle name="60% - Accent3 5 4 2 2" xfId="956" xr:uid="{00000000-0005-0000-0000-0000BB030000}"/>
    <cellStyle name="60% - Accent3 5 4 3" xfId="957" xr:uid="{00000000-0005-0000-0000-0000BC030000}"/>
    <cellStyle name="60% - Accent3 5 4 3 2" xfId="958" xr:uid="{00000000-0005-0000-0000-0000BD030000}"/>
    <cellStyle name="60% - Accent3 6" xfId="959" xr:uid="{00000000-0005-0000-0000-0000BE030000}"/>
    <cellStyle name="60% - Accent3 6 2" xfId="960" xr:uid="{00000000-0005-0000-0000-0000BF030000}"/>
    <cellStyle name="60% - Accent3 6 3" xfId="961" xr:uid="{00000000-0005-0000-0000-0000C0030000}"/>
    <cellStyle name="60% - Accent3 7" xfId="962" xr:uid="{00000000-0005-0000-0000-0000C1030000}"/>
    <cellStyle name="60% - Accent3 7 2" xfId="963" xr:uid="{00000000-0005-0000-0000-0000C2030000}"/>
    <cellStyle name="60% - Accent3 8" xfId="964" xr:uid="{00000000-0005-0000-0000-0000C3030000}"/>
    <cellStyle name="60% - Accent3 9" xfId="965" xr:uid="{00000000-0005-0000-0000-0000C4030000}"/>
    <cellStyle name="60% - Accent3 9 2" xfId="966" xr:uid="{00000000-0005-0000-0000-0000C5030000}"/>
    <cellStyle name="60% - Accent3 9 2 2" xfId="967" xr:uid="{00000000-0005-0000-0000-0000C6030000}"/>
    <cellStyle name="60% - Accent3 9 3" xfId="968" xr:uid="{00000000-0005-0000-0000-0000C7030000}"/>
    <cellStyle name="60% - Accent3 9 3 2" xfId="969" xr:uid="{00000000-0005-0000-0000-0000C8030000}"/>
    <cellStyle name="60% - Accent4" xfId="970" builtinId="44" customBuiltin="1"/>
    <cellStyle name="60% - Accent4 10" xfId="971" xr:uid="{00000000-0005-0000-0000-0000CA030000}"/>
    <cellStyle name="60% - Accent4 10 2" xfId="972" xr:uid="{00000000-0005-0000-0000-0000CB030000}"/>
    <cellStyle name="60% - Accent4 10 3" xfId="973" xr:uid="{00000000-0005-0000-0000-0000CC030000}"/>
    <cellStyle name="60% - Accent4 11" xfId="974" xr:uid="{00000000-0005-0000-0000-0000CD030000}"/>
    <cellStyle name="60% - Accent4 12" xfId="975" xr:uid="{00000000-0005-0000-0000-0000CE030000}"/>
    <cellStyle name="60% - Accent4 13" xfId="976" xr:uid="{00000000-0005-0000-0000-0000CF030000}"/>
    <cellStyle name="60% - Accent4 14" xfId="977" xr:uid="{00000000-0005-0000-0000-0000D0030000}"/>
    <cellStyle name="60% - Accent4 2" xfId="978" xr:uid="{00000000-0005-0000-0000-0000D1030000}"/>
    <cellStyle name="60% - Accent4 2 2" xfId="979" xr:uid="{00000000-0005-0000-0000-0000D2030000}"/>
    <cellStyle name="60% - Accent4 2 2 2" xfId="980" xr:uid="{00000000-0005-0000-0000-0000D3030000}"/>
    <cellStyle name="60% - Accent4 2 2 3" xfId="981" xr:uid="{00000000-0005-0000-0000-0000D4030000}"/>
    <cellStyle name="60% - Accent4 2 2 4" xfId="982" xr:uid="{00000000-0005-0000-0000-0000D5030000}"/>
    <cellStyle name="60% - Accent4 2 2 5" xfId="983" xr:uid="{00000000-0005-0000-0000-0000D6030000}"/>
    <cellStyle name="60% - Accent4 2 3" xfId="984" xr:uid="{00000000-0005-0000-0000-0000D7030000}"/>
    <cellStyle name="60% - Accent4 2 3 2" xfId="985" xr:uid="{00000000-0005-0000-0000-0000D8030000}"/>
    <cellStyle name="60% - Accent4 2 3 3" xfId="986" xr:uid="{00000000-0005-0000-0000-0000D9030000}"/>
    <cellStyle name="60% - Accent4 2 4" xfId="987" xr:uid="{00000000-0005-0000-0000-0000DA030000}"/>
    <cellStyle name="60% - Accent4 2 5" xfId="988" xr:uid="{00000000-0005-0000-0000-0000DB030000}"/>
    <cellStyle name="60% - Accent4 3" xfId="989" xr:uid="{00000000-0005-0000-0000-0000DC030000}"/>
    <cellStyle name="60% - Accent4 3 2" xfId="990" xr:uid="{00000000-0005-0000-0000-0000DD030000}"/>
    <cellStyle name="60% - Accent4 3 3" xfId="991" xr:uid="{00000000-0005-0000-0000-0000DE030000}"/>
    <cellStyle name="60% - Accent4 3 4" xfId="992" xr:uid="{00000000-0005-0000-0000-0000DF030000}"/>
    <cellStyle name="60% - Accent4 4" xfId="993" xr:uid="{00000000-0005-0000-0000-0000E0030000}"/>
    <cellStyle name="60% - Accent4 4 2" xfId="994" xr:uid="{00000000-0005-0000-0000-0000E1030000}"/>
    <cellStyle name="60% - Accent4 4 3" xfId="995" xr:uid="{00000000-0005-0000-0000-0000E2030000}"/>
    <cellStyle name="60% - Accent4 4 4" xfId="996" xr:uid="{00000000-0005-0000-0000-0000E3030000}"/>
    <cellStyle name="60% - Accent4 5" xfId="997" xr:uid="{00000000-0005-0000-0000-0000E4030000}"/>
    <cellStyle name="60% - Accent4 5 2" xfId="998" xr:uid="{00000000-0005-0000-0000-0000E5030000}"/>
    <cellStyle name="60% - Accent4 5 2 2" xfId="999" xr:uid="{00000000-0005-0000-0000-0000E6030000}"/>
    <cellStyle name="60% - Accent4 5 2 3" xfId="1000" xr:uid="{00000000-0005-0000-0000-0000E7030000}"/>
    <cellStyle name="60% - Accent4 5 2 4" xfId="1001" xr:uid="{00000000-0005-0000-0000-0000E8030000}"/>
    <cellStyle name="60% - Accent4 5 3" xfId="1002" xr:uid="{00000000-0005-0000-0000-0000E9030000}"/>
    <cellStyle name="60% - Accent4 5 3 2" xfId="1003" xr:uid="{00000000-0005-0000-0000-0000EA030000}"/>
    <cellStyle name="60% - Accent4 5 3 3" xfId="1004" xr:uid="{00000000-0005-0000-0000-0000EB030000}"/>
    <cellStyle name="60% - Accent4 5 4" xfId="1005" xr:uid="{00000000-0005-0000-0000-0000EC030000}"/>
    <cellStyle name="60% - Accent4 5 4 2" xfId="1006" xr:uid="{00000000-0005-0000-0000-0000ED030000}"/>
    <cellStyle name="60% - Accent4 5 4 2 2" xfId="1007" xr:uid="{00000000-0005-0000-0000-0000EE030000}"/>
    <cellStyle name="60% - Accent4 5 4 3" xfId="1008" xr:uid="{00000000-0005-0000-0000-0000EF030000}"/>
    <cellStyle name="60% - Accent4 5 4 3 2" xfId="1009" xr:uid="{00000000-0005-0000-0000-0000F0030000}"/>
    <cellStyle name="60% - Accent4 6" xfId="1010" xr:uid="{00000000-0005-0000-0000-0000F1030000}"/>
    <cellStyle name="60% - Accent4 6 2" xfId="1011" xr:uid="{00000000-0005-0000-0000-0000F2030000}"/>
    <cellStyle name="60% - Accent4 6 3" xfId="1012" xr:uid="{00000000-0005-0000-0000-0000F3030000}"/>
    <cellStyle name="60% - Accent4 7" xfId="1013" xr:uid="{00000000-0005-0000-0000-0000F4030000}"/>
    <cellStyle name="60% - Accent4 7 2" xfId="1014" xr:uid="{00000000-0005-0000-0000-0000F5030000}"/>
    <cellStyle name="60% - Accent4 8" xfId="1015" xr:uid="{00000000-0005-0000-0000-0000F6030000}"/>
    <cellStyle name="60% - Accent4 9" xfId="1016" xr:uid="{00000000-0005-0000-0000-0000F7030000}"/>
    <cellStyle name="60% - Accent4 9 2" xfId="1017" xr:uid="{00000000-0005-0000-0000-0000F8030000}"/>
    <cellStyle name="60% - Accent4 9 2 2" xfId="1018" xr:uid="{00000000-0005-0000-0000-0000F9030000}"/>
    <cellStyle name="60% - Accent4 9 3" xfId="1019" xr:uid="{00000000-0005-0000-0000-0000FA030000}"/>
    <cellStyle name="60% - Accent4 9 3 2" xfId="1020" xr:uid="{00000000-0005-0000-0000-0000FB030000}"/>
    <cellStyle name="60% - Accent5" xfId="1021" builtinId="48" customBuiltin="1"/>
    <cellStyle name="60% - Accent5 10" xfId="1022" xr:uid="{00000000-0005-0000-0000-0000FD030000}"/>
    <cellStyle name="60% - Accent5 10 2" xfId="1023" xr:uid="{00000000-0005-0000-0000-0000FE030000}"/>
    <cellStyle name="60% - Accent5 10 3" xfId="1024" xr:uid="{00000000-0005-0000-0000-0000FF030000}"/>
    <cellStyle name="60% - Accent5 11" xfId="1025" xr:uid="{00000000-0005-0000-0000-000000040000}"/>
    <cellStyle name="60% - Accent5 12" xfId="1026" xr:uid="{00000000-0005-0000-0000-000001040000}"/>
    <cellStyle name="60% - Accent5 13" xfId="1027" xr:uid="{00000000-0005-0000-0000-000002040000}"/>
    <cellStyle name="60% - Accent5 14" xfId="1028" xr:uid="{00000000-0005-0000-0000-000003040000}"/>
    <cellStyle name="60% - Accent5 2" xfId="1029" xr:uid="{00000000-0005-0000-0000-000004040000}"/>
    <cellStyle name="60% - Accent5 2 2" xfId="1030" xr:uid="{00000000-0005-0000-0000-000005040000}"/>
    <cellStyle name="60% - Accent5 2 2 2" xfId="1031" xr:uid="{00000000-0005-0000-0000-000006040000}"/>
    <cellStyle name="60% - Accent5 2 2 3" xfId="1032" xr:uid="{00000000-0005-0000-0000-000007040000}"/>
    <cellStyle name="60% - Accent5 2 2 4" xfId="1033" xr:uid="{00000000-0005-0000-0000-000008040000}"/>
    <cellStyle name="60% - Accent5 2 2 5" xfId="1034" xr:uid="{00000000-0005-0000-0000-000009040000}"/>
    <cellStyle name="60% - Accent5 2 3" xfId="1035" xr:uid="{00000000-0005-0000-0000-00000A040000}"/>
    <cellStyle name="60% - Accent5 2 3 2" xfId="1036" xr:uid="{00000000-0005-0000-0000-00000B040000}"/>
    <cellStyle name="60% - Accent5 2 3 3" xfId="1037" xr:uid="{00000000-0005-0000-0000-00000C040000}"/>
    <cellStyle name="60% - Accent5 2 4" xfId="1038" xr:uid="{00000000-0005-0000-0000-00000D040000}"/>
    <cellStyle name="60% - Accent5 2 5" xfId="1039" xr:uid="{00000000-0005-0000-0000-00000E040000}"/>
    <cellStyle name="60% - Accent5 3" xfId="1040" xr:uid="{00000000-0005-0000-0000-00000F040000}"/>
    <cellStyle name="60% - Accent5 3 2" xfId="1041" xr:uid="{00000000-0005-0000-0000-000010040000}"/>
    <cellStyle name="60% - Accent5 3 3" xfId="1042" xr:uid="{00000000-0005-0000-0000-000011040000}"/>
    <cellStyle name="60% - Accent5 3 4" xfId="1043" xr:uid="{00000000-0005-0000-0000-000012040000}"/>
    <cellStyle name="60% - Accent5 4" xfId="1044" xr:uid="{00000000-0005-0000-0000-000013040000}"/>
    <cellStyle name="60% - Accent5 4 2" xfId="1045" xr:uid="{00000000-0005-0000-0000-000014040000}"/>
    <cellStyle name="60% - Accent5 4 3" xfId="1046" xr:uid="{00000000-0005-0000-0000-000015040000}"/>
    <cellStyle name="60% - Accent5 4 4" xfId="1047" xr:uid="{00000000-0005-0000-0000-000016040000}"/>
    <cellStyle name="60% - Accent5 5" xfId="1048" xr:uid="{00000000-0005-0000-0000-000017040000}"/>
    <cellStyle name="60% - Accent5 5 2" xfId="1049" xr:uid="{00000000-0005-0000-0000-000018040000}"/>
    <cellStyle name="60% - Accent5 5 2 2" xfId="1050" xr:uid="{00000000-0005-0000-0000-000019040000}"/>
    <cellStyle name="60% - Accent5 5 2 3" xfId="1051" xr:uid="{00000000-0005-0000-0000-00001A040000}"/>
    <cellStyle name="60% - Accent5 5 2 4" xfId="1052" xr:uid="{00000000-0005-0000-0000-00001B040000}"/>
    <cellStyle name="60% - Accent5 5 3" xfId="1053" xr:uid="{00000000-0005-0000-0000-00001C040000}"/>
    <cellStyle name="60% - Accent5 5 3 2" xfId="1054" xr:uid="{00000000-0005-0000-0000-00001D040000}"/>
    <cellStyle name="60% - Accent5 5 3 3" xfId="1055" xr:uid="{00000000-0005-0000-0000-00001E040000}"/>
    <cellStyle name="60% - Accent5 5 4" xfId="1056" xr:uid="{00000000-0005-0000-0000-00001F040000}"/>
    <cellStyle name="60% - Accent5 5 4 2" xfId="1057" xr:uid="{00000000-0005-0000-0000-000020040000}"/>
    <cellStyle name="60% - Accent5 5 4 2 2" xfId="1058" xr:uid="{00000000-0005-0000-0000-000021040000}"/>
    <cellStyle name="60% - Accent5 5 4 3" xfId="1059" xr:uid="{00000000-0005-0000-0000-000022040000}"/>
    <cellStyle name="60% - Accent5 5 4 3 2" xfId="1060" xr:uid="{00000000-0005-0000-0000-000023040000}"/>
    <cellStyle name="60% - Accent5 6" xfId="1061" xr:uid="{00000000-0005-0000-0000-000024040000}"/>
    <cellStyle name="60% - Accent5 6 2" xfId="1062" xr:uid="{00000000-0005-0000-0000-000025040000}"/>
    <cellStyle name="60% - Accent5 6 3" xfId="1063" xr:uid="{00000000-0005-0000-0000-000026040000}"/>
    <cellStyle name="60% - Accent5 7" xfId="1064" xr:uid="{00000000-0005-0000-0000-000027040000}"/>
    <cellStyle name="60% - Accent5 7 2" xfId="1065" xr:uid="{00000000-0005-0000-0000-000028040000}"/>
    <cellStyle name="60% - Accent5 8" xfId="1066" xr:uid="{00000000-0005-0000-0000-000029040000}"/>
    <cellStyle name="60% - Accent5 9" xfId="1067" xr:uid="{00000000-0005-0000-0000-00002A040000}"/>
    <cellStyle name="60% - Accent5 9 2" xfId="1068" xr:uid="{00000000-0005-0000-0000-00002B040000}"/>
    <cellStyle name="60% - Accent5 9 2 2" xfId="1069" xr:uid="{00000000-0005-0000-0000-00002C040000}"/>
    <cellStyle name="60% - Accent5 9 3" xfId="1070" xr:uid="{00000000-0005-0000-0000-00002D040000}"/>
    <cellStyle name="60% - Accent5 9 3 2" xfId="1071" xr:uid="{00000000-0005-0000-0000-00002E040000}"/>
    <cellStyle name="60% - Accent6" xfId="1072" builtinId="52" customBuiltin="1"/>
    <cellStyle name="60% - Accent6 10" xfId="1073" xr:uid="{00000000-0005-0000-0000-000030040000}"/>
    <cellStyle name="60% - Accent6 10 2" xfId="1074" xr:uid="{00000000-0005-0000-0000-000031040000}"/>
    <cellStyle name="60% - Accent6 10 3" xfId="1075" xr:uid="{00000000-0005-0000-0000-000032040000}"/>
    <cellStyle name="60% - Accent6 11" xfId="1076" xr:uid="{00000000-0005-0000-0000-000033040000}"/>
    <cellStyle name="60% - Accent6 12" xfId="1077" xr:uid="{00000000-0005-0000-0000-000034040000}"/>
    <cellStyle name="60% - Accent6 13" xfId="1078" xr:uid="{00000000-0005-0000-0000-000035040000}"/>
    <cellStyle name="60% - Accent6 14" xfId="1079" xr:uid="{00000000-0005-0000-0000-000036040000}"/>
    <cellStyle name="60% - Accent6 2" xfId="1080" xr:uid="{00000000-0005-0000-0000-000037040000}"/>
    <cellStyle name="60% - Accent6 2 2" xfId="1081" xr:uid="{00000000-0005-0000-0000-000038040000}"/>
    <cellStyle name="60% - Accent6 2 2 2" xfId="1082" xr:uid="{00000000-0005-0000-0000-000039040000}"/>
    <cellStyle name="60% - Accent6 2 2 3" xfId="1083" xr:uid="{00000000-0005-0000-0000-00003A040000}"/>
    <cellStyle name="60% - Accent6 2 2 4" xfId="1084" xr:uid="{00000000-0005-0000-0000-00003B040000}"/>
    <cellStyle name="60% - Accent6 2 2 5" xfId="1085" xr:uid="{00000000-0005-0000-0000-00003C040000}"/>
    <cellStyle name="60% - Accent6 2 3" xfId="1086" xr:uid="{00000000-0005-0000-0000-00003D040000}"/>
    <cellStyle name="60% - Accent6 2 3 2" xfId="1087" xr:uid="{00000000-0005-0000-0000-00003E040000}"/>
    <cellStyle name="60% - Accent6 2 3 3" xfId="1088" xr:uid="{00000000-0005-0000-0000-00003F040000}"/>
    <cellStyle name="60% - Accent6 2 4" xfId="1089" xr:uid="{00000000-0005-0000-0000-000040040000}"/>
    <cellStyle name="60% - Accent6 2 5" xfId="1090" xr:uid="{00000000-0005-0000-0000-000041040000}"/>
    <cellStyle name="60% - Accent6 3" xfId="1091" xr:uid="{00000000-0005-0000-0000-000042040000}"/>
    <cellStyle name="60% - Accent6 3 2" xfId="1092" xr:uid="{00000000-0005-0000-0000-000043040000}"/>
    <cellStyle name="60% - Accent6 3 3" xfId="1093" xr:uid="{00000000-0005-0000-0000-000044040000}"/>
    <cellStyle name="60% - Accent6 3 4" xfId="1094" xr:uid="{00000000-0005-0000-0000-000045040000}"/>
    <cellStyle name="60% - Accent6 4" xfId="1095" xr:uid="{00000000-0005-0000-0000-000046040000}"/>
    <cellStyle name="60% - Accent6 4 2" xfId="1096" xr:uid="{00000000-0005-0000-0000-000047040000}"/>
    <cellStyle name="60% - Accent6 4 3" xfId="1097" xr:uid="{00000000-0005-0000-0000-000048040000}"/>
    <cellStyle name="60% - Accent6 4 4" xfId="1098" xr:uid="{00000000-0005-0000-0000-000049040000}"/>
    <cellStyle name="60% - Accent6 5" xfId="1099" xr:uid="{00000000-0005-0000-0000-00004A040000}"/>
    <cellStyle name="60% - Accent6 5 2" xfId="1100" xr:uid="{00000000-0005-0000-0000-00004B040000}"/>
    <cellStyle name="60% - Accent6 5 2 2" xfId="1101" xr:uid="{00000000-0005-0000-0000-00004C040000}"/>
    <cellStyle name="60% - Accent6 5 2 3" xfId="1102" xr:uid="{00000000-0005-0000-0000-00004D040000}"/>
    <cellStyle name="60% - Accent6 5 2 4" xfId="1103" xr:uid="{00000000-0005-0000-0000-00004E040000}"/>
    <cellStyle name="60% - Accent6 5 3" xfId="1104" xr:uid="{00000000-0005-0000-0000-00004F040000}"/>
    <cellStyle name="60% - Accent6 5 3 2" xfId="1105" xr:uid="{00000000-0005-0000-0000-000050040000}"/>
    <cellStyle name="60% - Accent6 5 3 3" xfId="1106" xr:uid="{00000000-0005-0000-0000-000051040000}"/>
    <cellStyle name="60% - Accent6 5 4" xfId="1107" xr:uid="{00000000-0005-0000-0000-000052040000}"/>
    <cellStyle name="60% - Accent6 5 4 2" xfId="1108" xr:uid="{00000000-0005-0000-0000-000053040000}"/>
    <cellStyle name="60% - Accent6 5 4 2 2" xfId="1109" xr:uid="{00000000-0005-0000-0000-000054040000}"/>
    <cellStyle name="60% - Accent6 5 4 3" xfId="1110" xr:uid="{00000000-0005-0000-0000-000055040000}"/>
    <cellStyle name="60% - Accent6 5 4 3 2" xfId="1111" xr:uid="{00000000-0005-0000-0000-000056040000}"/>
    <cellStyle name="60% - Accent6 6" xfId="1112" xr:uid="{00000000-0005-0000-0000-000057040000}"/>
    <cellStyle name="60% - Accent6 6 2" xfId="1113" xr:uid="{00000000-0005-0000-0000-000058040000}"/>
    <cellStyle name="60% - Accent6 6 3" xfId="1114" xr:uid="{00000000-0005-0000-0000-000059040000}"/>
    <cellStyle name="60% - Accent6 7" xfId="1115" xr:uid="{00000000-0005-0000-0000-00005A040000}"/>
    <cellStyle name="60% - Accent6 7 2" xfId="1116" xr:uid="{00000000-0005-0000-0000-00005B040000}"/>
    <cellStyle name="60% - Accent6 8" xfId="1117" xr:uid="{00000000-0005-0000-0000-00005C040000}"/>
    <cellStyle name="60% - Accent6 9" xfId="1118" xr:uid="{00000000-0005-0000-0000-00005D040000}"/>
    <cellStyle name="60% - Accent6 9 2" xfId="1119" xr:uid="{00000000-0005-0000-0000-00005E040000}"/>
    <cellStyle name="60% - Accent6 9 2 2" xfId="1120" xr:uid="{00000000-0005-0000-0000-00005F040000}"/>
    <cellStyle name="60% - Accent6 9 3" xfId="1121" xr:uid="{00000000-0005-0000-0000-000060040000}"/>
    <cellStyle name="60% - Accent6 9 3 2" xfId="1122" xr:uid="{00000000-0005-0000-0000-000061040000}"/>
    <cellStyle name="Accent1" xfId="1123" builtinId="29" customBuiltin="1"/>
    <cellStyle name="Accent1 10" xfId="1124" xr:uid="{00000000-0005-0000-0000-000063040000}"/>
    <cellStyle name="Accent1 10 2" xfId="1125" xr:uid="{00000000-0005-0000-0000-000064040000}"/>
    <cellStyle name="Accent1 10 3" xfId="1126" xr:uid="{00000000-0005-0000-0000-000065040000}"/>
    <cellStyle name="Accent1 11" xfId="1127" xr:uid="{00000000-0005-0000-0000-000066040000}"/>
    <cellStyle name="Accent1 12" xfId="1128" xr:uid="{00000000-0005-0000-0000-000067040000}"/>
    <cellStyle name="Accent1 13" xfId="1129" xr:uid="{00000000-0005-0000-0000-000068040000}"/>
    <cellStyle name="Accent1 14" xfId="1130" xr:uid="{00000000-0005-0000-0000-000069040000}"/>
    <cellStyle name="Accent1 2" xfId="1131" xr:uid="{00000000-0005-0000-0000-00006A040000}"/>
    <cellStyle name="Accent1 2 2" xfId="1132" xr:uid="{00000000-0005-0000-0000-00006B040000}"/>
    <cellStyle name="Accent1 2 2 2" xfId="1133" xr:uid="{00000000-0005-0000-0000-00006C040000}"/>
    <cellStyle name="Accent1 2 2 3" xfId="1134" xr:uid="{00000000-0005-0000-0000-00006D040000}"/>
    <cellStyle name="Accent1 2 2 4" xfId="1135" xr:uid="{00000000-0005-0000-0000-00006E040000}"/>
    <cellStyle name="Accent1 2 2 5" xfId="1136" xr:uid="{00000000-0005-0000-0000-00006F040000}"/>
    <cellStyle name="Accent1 2 3" xfId="1137" xr:uid="{00000000-0005-0000-0000-000070040000}"/>
    <cellStyle name="Accent1 2 3 2" xfId="1138" xr:uid="{00000000-0005-0000-0000-000071040000}"/>
    <cellStyle name="Accent1 2 3 3" xfId="1139" xr:uid="{00000000-0005-0000-0000-000072040000}"/>
    <cellStyle name="Accent1 2 4" xfId="1140" xr:uid="{00000000-0005-0000-0000-000073040000}"/>
    <cellStyle name="Accent1 2 5" xfId="1141" xr:uid="{00000000-0005-0000-0000-000074040000}"/>
    <cellStyle name="Accent1 3" xfId="1142" xr:uid="{00000000-0005-0000-0000-000075040000}"/>
    <cellStyle name="Accent1 3 2" xfId="1143" xr:uid="{00000000-0005-0000-0000-000076040000}"/>
    <cellStyle name="Accent1 3 3" xfId="1144" xr:uid="{00000000-0005-0000-0000-000077040000}"/>
    <cellStyle name="Accent1 3 4" xfId="1145" xr:uid="{00000000-0005-0000-0000-000078040000}"/>
    <cellStyle name="Accent1 4" xfId="1146" xr:uid="{00000000-0005-0000-0000-000079040000}"/>
    <cellStyle name="Accent1 4 2" xfId="1147" xr:uid="{00000000-0005-0000-0000-00007A040000}"/>
    <cellStyle name="Accent1 4 3" xfId="1148" xr:uid="{00000000-0005-0000-0000-00007B040000}"/>
    <cellStyle name="Accent1 4 4" xfId="1149" xr:uid="{00000000-0005-0000-0000-00007C040000}"/>
    <cellStyle name="Accent1 5" xfId="1150" xr:uid="{00000000-0005-0000-0000-00007D040000}"/>
    <cellStyle name="Accent1 5 2" xfId="1151" xr:uid="{00000000-0005-0000-0000-00007E040000}"/>
    <cellStyle name="Accent1 5 2 2" xfId="1152" xr:uid="{00000000-0005-0000-0000-00007F040000}"/>
    <cellStyle name="Accent1 5 2 3" xfId="1153" xr:uid="{00000000-0005-0000-0000-000080040000}"/>
    <cellStyle name="Accent1 5 2 4" xfId="1154" xr:uid="{00000000-0005-0000-0000-000081040000}"/>
    <cellStyle name="Accent1 5 3" xfId="1155" xr:uid="{00000000-0005-0000-0000-000082040000}"/>
    <cellStyle name="Accent1 5 3 2" xfId="1156" xr:uid="{00000000-0005-0000-0000-000083040000}"/>
    <cellStyle name="Accent1 5 3 3" xfId="1157" xr:uid="{00000000-0005-0000-0000-000084040000}"/>
    <cellStyle name="Accent1 5 4" xfId="1158" xr:uid="{00000000-0005-0000-0000-000085040000}"/>
    <cellStyle name="Accent1 5 4 2" xfId="1159" xr:uid="{00000000-0005-0000-0000-000086040000}"/>
    <cellStyle name="Accent1 5 4 2 2" xfId="1160" xr:uid="{00000000-0005-0000-0000-000087040000}"/>
    <cellStyle name="Accent1 5 4 3" xfId="1161" xr:uid="{00000000-0005-0000-0000-000088040000}"/>
    <cellStyle name="Accent1 5 4 3 2" xfId="1162" xr:uid="{00000000-0005-0000-0000-000089040000}"/>
    <cellStyle name="Accent1 6" xfId="1163" xr:uid="{00000000-0005-0000-0000-00008A040000}"/>
    <cellStyle name="Accent1 6 2" xfId="1164" xr:uid="{00000000-0005-0000-0000-00008B040000}"/>
    <cellStyle name="Accent1 6 3" xfId="1165" xr:uid="{00000000-0005-0000-0000-00008C040000}"/>
    <cellStyle name="Accent1 7" xfId="1166" xr:uid="{00000000-0005-0000-0000-00008D040000}"/>
    <cellStyle name="Accent1 7 2" xfId="1167" xr:uid="{00000000-0005-0000-0000-00008E040000}"/>
    <cellStyle name="Accent1 8" xfId="1168" xr:uid="{00000000-0005-0000-0000-00008F040000}"/>
    <cellStyle name="Accent1 9" xfId="1169" xr:uid="{00000000-0005-0000-0000-000090040000}"/>
    <cellStyle name="Accent1 9 2" xfId="1170" xr:uid="{00000000-0005-0000-0000-000091040000}"/>
    <cellStyle name="Accent1 9 2 2" xfId="1171" xr:uid="{00000000-0005-0000-0000-000092040000}"/>
    <cellStyle name="Accent1 9 3" xfId="1172" xr:uid="{00000000-0005-0000-0000-000093040000}"/>
    <cellStyle name="Accent1 9 3 2" xfId="1173" xr:uid="{00000000-0005-0000-0000-000094040000}"/>
    <cellStyle name="Accent2" xfId="1174" builtinId="33" customBuiltin="1"/>
    <cellStyle name="Accent2 10" xfId="1175" xr:uid="{00000000-0005-0000-0000-000096040000}"/>
    <cellStyle name="Accent2 10 2" xfId="1176" xr:uid="{00000000-0005-0000-0000-000097040000}"/>
    <cellStyle name="Accent2 10 3" xfId="1177" xr:uid="{00000000-0005-0000-0000-000098040000}"/>
    <cellStyle name="Accent2 11" xfId="1178" xr:uid="{00000000-0005-0000-0000-000099040000}"/>
    <cellStyle name="Accent2 12" xfId="1179" xr:uid="{00000000-0005-0000-0000-00009A040000}"/>
    <cellStyle name="Accent2 13" xfId="1180" xr:uid="{00000000-0005-0000-0000-00009B040000}"/>
    <cellStyle name="Accent2 14" xfId="1181" xr:uid="{00000000-0005-0000-0000-00009C040000}"/>
    <cellStyle name="Accent2 2" xfId="1182" xr:uid="{00000000-0005-0000-0000-00009D040000}"/>
    <cellStyle name="Accent2 2 2" xfId="1183" xr:uid="{00000000-0005-0000-0000-00009E040000}"/>
    <cellStyle name="Accent2 2 2 2" xfId="1184" xr:uid="{00000000-0005-0000-0000-00009F040000}"/>
    <cellStyle name="Accent2 2 2 3" xfId="1185" xr:uid="{00000000-0005-0000-0000-0000A0040000}"/>
    <cellStyle name="Accent2 2 2 4" xfId="1186" xr:uid="{00000000-0005-0000-0000-0000A1040000}"/>
    <cellStyle name="Accent2 2 2 5" xfId="1187" xr:uid="{00000000-0005-0000-0000-0000A2040000}"/>
    <cellStyle name="Accent2 2 3" xfId="1188" xr:uid="{00000000-0005-0000-0000-0000A3040000}"/>
    <cellStyle name="Accent2 2 3 2" xfId="1189" xr:uid="{00000000-0005-0000-0000-0000A4040000}"/>
    <cellStyle name="Accent2 2 3 3" xfId="1190" xr:uid="{00000000-0005-0000-0000-0000A5040000}"/>
    <cellStyle name="Accent2 2 4" xfId="1191" xr:uid="{00000000-0005-0000-0000-0000A6040000}"/>
    <cellStyle name="Accent2 2 5" xfId="1192" xr:uid="{00000000-0005-0000-0000-0000A7040000}"/>
    <cellStyle name="Accent2 3" xfId="1193" xr:uid="{00000000-0005-0000-0000-0000A8040000}"/>
    <cellStyle name="Accent2 3 2" xfId="1194" xr:uid="{00000000-0005-0000-0000-0000A9040000}"/>
    <cellStyle name="Accent2 3 3" xfId="1195" xr:uid="{00000000-0005-0000-0000-0000AA040000}"/>
    <cellStyle name="Accent2 3 4" xfId="1196" xr:uid="{00000000-0005-0000-0000-0000AB040000}"/>
    <cellStyle name="Accent2 4" xfId="1197" xr:uid="{00000000-0005-0000-0000-0000AC040000}"/>
    <cellStyle name="Accent2 4 2" xfId="1198" xr:uid="{00000000-0005-0000-0000-0000AD040000}"/>
    <cellStyle name="Accent2 4 3" xfId="1199" xr:uid="{00000000-0005-0000-0000-0000AE040000}"/>
    <cellStyle name="Accent2 4 4" xfId="1200" xr:uid="{00000000-0005-0000-0000-0000AF040000}"/>
    <cellStyle name="Accent2 5" xfId="1201" xr:uid="{00000000-0005-0000-0000-0000B0040000}"/>
    <cellStyle name="Accent2 5 2" xfId="1202" xr:uid="{00000000-0005-0000-0000-0000B1040000}"/>
    <cellStyle name="Accent2 5 2 2" xfId="1203" xr:uid="{00000000-0005-0000-0000-0000B2040000}"/>
    <cellStyle name="Accent2 5 2 3" xfId="1204" xr:uid="{00000000-0005-0000-0000-0000B3040000}"/>
    <cellStyle name="Accent2 5 2 4" xfId="1205" xr:uid="{00000000-0005-0000-0000-0000B4040000}"/>
    <cellStyle name="Accent2 5 3" xfId="1206" xr:uid="{00000000-0005-0000-0000-0000B5040000}"/>
    <cellStyle name="Accent2 5 3 2" xfId="1207" xr:uid="{00000000-0005-0000-0000-0000B6040000}"/>
    <cellStyle name="Accent2 5 3 3" xfId="1208" xr:uid="{00000000-0005-0000-0000-0000B7040000}"/>
    <cellStyle name="Accent2 5 4" xfId="1209" xr:uid="{00000000-0005-0000-0000-0000B8040000}"/>
    <cellStyle name="Accent2 5 4 2" xfId="1210" xr:uid="{00000000-0005-0000-0000-0000B9040000}"/>
    <cellStyle name="Accent2 5 4 2 2" xfId="1211" xr:uid="{00000000-0005-0000-0000-0000BA040000}"/>
    <cellStyle name="Accent2 5 4 3" xfId="1212" xr:uid="{00000000-0005-0000-0000-0000BB040000}"/>
    <cellStyle name="Accent2 5 4 3 2" xfId="1213" xr:uid="{00000000-0005-0000-0000-0000BC040000}"/>
    <cellStyle name="Accent2 6" xfId="1214" xr:uid="{00000000-0005-0000-0000-0000BD040000}"/>
    <cellStyle name="Accent2 6 2" xfId="1215" xr:uid="{00000000-0005-0000-0000-0000BE040000}"/>
    <cellStyle name="Accent2 6 3" xfId="1216" xr:uid="{00000000-0005-0000-0000-0000BF040000}"/>
    <cellStyle name="Accent2 7" xfId="1217" xr:uid="{00000000-0005-0000-0000-0000C0040000}"/>
    <cellStyle name="Accent2 7 2" xfId="1218" xr:uid="{00000000-0005-0000-0000-0000C1040000}"/>
    <cellStyle name="Accent2 8" xfId="1219" xr:uid="{00000000-0005-0000-0000-0000C2040000}"/>
    <cellStyle name="Accent2 9" xfId="1220" xr:uid="{00000000-0005-0000-0000-0000C3040000}"/>
    <cellStyle name="Accent2 9 2" xfId="1221" xr:uid="{00000000-0005-0000-0000-0000C4040000}"/>
    <cellStyle name="Accent2 9 2 2" xfId="1222" xr:uid="{00000000-0005-0000-0000-0000C5040000}"/>
    <cellStyle name="Accent2 9 3" xfId="1223" xr:uid="{00000000-0005-0000-0000-0000C6040000}"/>
    <cellStyle name="Accent2 9 3 2" xfId="1224" xr:uid="{00000000-0005-0000-0000-0000C7040000}"/>
    <cellStyle name="Accent3" xfId="1225" builtinId="37" customBuiltin="1"/>
    <cellStyle name="Accent3 10" xfId="1226" xr:uid="{00000000-0005-0000-0000-0000C9040000}"/>
    <cellStyle name="Accent3 10 2" xfId="1227" xr:uid="{00000000-0005-0000-0000-0000CA040000}"/>
    <cellStyle name="Accent3 10 3" xfId="1228" xr:uid="{00000000-0005-0000-0000-0000CB040000}"/>
    <cellStyle name="Accent3 11" xfId="1229" xr:uid="{00000000-0005-0000-0000-0000CC040000}"/>
    <cellStyle name="Accent3 12" xfId="1230" xr:uid="{00000000-0005-0000-0000-0000CD040000}"/>
    <cellStyle name="Accent3 13" xfId="1231" xr:uid="{00000000-0005-0000-0000-0000CE040000}"/>
    <cellStyle name="Accent3 14" xfId="1232" xr:uid="{00000000-0005-0000-0000-0000CF040000}"/>
    <cellStyle name="Accent3 2" xfId="1233" xr:uid="{00000000-0005-0000-0000-0000D0040000}"/>
    <cellStyle name="Accent3 2 2" xfId="1234" xr:uid="{00000000-0005-0000-0000-0000D1040000}"/>
    <cellStyle name="Accent3 2 2 2" xfId="1235" xr:uid="{00000000-0005-0000-0000-0000D2040000}"/>
    <cellStyle name="Accent3 2 2 3" xfId="1236" xr:uid="{00000000-0005-0000-0000-0000D3040000}"/>
    <cellStyle name="Accent3 2 2 4" xfId="1237" xr:uid="{00000000-0005-0000-0000-0000D4040000}"/>
    <cellStyle name="Accent3 2 2 5" xfId="1238" xr:uid="{00000000-0005-0000-0000-0000D5040000}"/>
    <cellStyle name="Accent3 2 3" xfId="1239" xr:uid="{00000000-0005-0000-0000-0000D6040000}"/>
    <cellStyle name="Accent3 2 3 2" xfId="1240" xr:uid="{00000000-0005-0000-0000-0000D7040000}"/>
    <cellStyle name="Accent3 2 3 3" xfId="1241" xr:uid="{00000000-0005-0000-0000-0000D8040000}"/>
    <cellStyle name="Accent3 2 4" xfId="1242" xr:uid="{00000000-0005-0000-0000-0000D9040000}"/>
    <cellStyle name="Accent3 2 5" xfId="1243" xr:uid="{00000000-0005-0000-0000-0000DA040000}"/>
    <cellStyle name="Accent3 3" xfId="1244" xr:uid="{00000000-0005-0000-0000-0000DB040000}"/>
    <cellStyle name="Accent3 3 2" xfId="1245" xr:uid="{00000000-0005-0000-0000-0000DC040000}"/>
    <cellStyle name="Accent3 3 3" xfId="1246" xr:uid="{00000000-0005-0000-0000-0000DD040000}"/>
    <cellStyle name="Accent3 3 4" xfId="1247" xr:uid="{00000000-0005-0000-0000-0000DE040000}"/>
    <cellStyle name="Accent3 4" xfId="1248" xr:uid="{00000000-0005-0000-0000-0000DF040000}"/>
    <cellStyle name="Accent3 4 2" xfId="1249" xr:uid="{00000000-0005-0000-0000-0000E0040000}"/>
    <cellStyle name="Accent3 4 3" xfId="1250" xr:uid="{00000000-0005-0000-0000-0000E1040000}"/>
    <cellStyle name="Accent3 4 4" xfId="1251" xr:uid="{00000000-0005-0000-0000-0000E2040000}"/>
    <cellStyle name="Accent3 5" xfId="1252" xr:uid="{00000000-0005-0000-0000-0000E3040000}"/>
    <cellStyle name="Accent3 5 2" xfId="1253" xr:uid="{00000000-0005-0000-0000-0000E4040000}"/>
    <cellStyle name="Accent3 5 2 2" xfId="1254" xr:uid="{00000000-0005-0000-0000-0000E5040000}"/>
    <cellStyle name="Accent3 5 2 3" xfId="1255" xr:uid="{00000000-0005-0000-0000-0000E6040000}"/>
    <cellStyle name="Accent3 5 2 4" xfId="1256" xr:uid="{00000000-0005-0000-0000-0000E7040000}"/>
    <cellStyle name="Accent3 5 3" xfId="1257" xr:uid="{00000000-0005-0000-0000-0000E8040000}"/>
    <cellStyle name="Accent3 5 3 2" xfId="1258" xr:uid="{00000000-0005-0000-0000-0000E9040000}"/>
    <cellStyle name="Accent3 5 3 3" xfId="1259" xr:uid="{00000000-0005-0000-0000-0000EA040000}"/>
    <cellStyle name="Accent3 5 4" xfId="1260" xr:uid="{00000000-0005-0000-0000-0000EB040000}"/>
    <cellStyle name="Accent3 5 4 2" xfId="1261" xr:uid="{00000000-0005-0000-0000-0000EC040000}"/>
    <cellStyle name="Accent3 5 4 2 2" xfId="1262" xr:uid="{00000000-0005-0000-0000-0000ED040000}"/>
    <cellStyle name="Accent3 5 4 3" xfId="1263" xr:uid="{00000000-0005-0000-0000-0000EE040000}"/>
    <cellStyle name="Accent3 5 4 3 2" xfId="1264" xr:uid="{00000000-0005-0000-0000-0000EF040000}"/>
    <cellStyle name="Accent3 6" xfId="1265" xr:uid="{00000000-0005-0000-0000-0000F0040000}"/>
    <cellStyle name="Accent3 6 2" xfId="1266" xr:uid="{00000000-0005-0000-0000-0000F1040000}"/>
    <cellStyle name="Accent3 6 3" xfId="1267" xr:uid="{00000000-0005-0000-0000-0000F2040000}"/>
    <cellStyle name="Accent3 7" xfId="1268" xr:uid="{00000000-0005-0000-0000-0000F3040000}"/>
    <cellStyle name="Accent3 7 2" xfId="1269" xr:uid="{00000000-0005-0000-0000-0000F4040000}"/>
    <cellStyle name="Accent3 8" xfId="1270" xr:uid="{00000000-0005-0000-0000-0000F5040000}"/>
    <cellStyle name="Accent3 9" xfId="1271" xr:uid="{00000000-0005-0000-0000-0000F6040000}"/>
    <cellStyle name="Accent3 9 2" xfId="1272" xr:uid="{00000000-0005-0000-0000-0000F7040000}"/>
    <cellStyle name="Accent3 9 2 2" xfId="1273" xr:uid="{00000000-0005-0000-0000-0000F8040000}"/>
    <cellStyle name="Accent3 9 3" xfId="1274" xr:uid="{00000000-0005-0000-0000-0000F9040000}"/>
    <cellStyle name="Accent3 9 3 2" xfId="1275" xr:uid="{00000000-0005-0000-0000-0000FA040000}"/>
    <cellStyle name="Accent4" xfId="1276" builtinId="41" customBuiltin="1"/>
    <cellStyle name="Accent4 10" xfId="1277" xr:uid="{00000000-0005-0000-0000-0000FC040000}"/>
    <cellStyle name="Accent4 10 2" xfId="1278" xr:uid="{00000000-0005-0000-0000-0000FD040000}"/>
    <cellStyle name="Accent4 10 3" xfId="1279" xr:uid="{00000000-0005-0000-0000-0000FE040000}"/>
    <cellStyle name="Accent4 11" xfId="1280" xr:uid="{00000000-0005-0000-0000-0000FF040000}"/>
    <cellStyle name="Accent4 12" xfId="1281" xr:uid="{00000000-0005-0000-0000-000000050000}"/>
    <cellStyle name="Accent4 13" xfId="1282" xr:uid="{00000000-0005-0000-0000-000001050000}"/>
    <cellStyle name="Accent4 14" xfId="1283" xr:uid="{00000000-0005-0000-0000-000002050000}"/>
    <cellStyle name="Accent4 2" xfId="1284" xr:uid="{00000000-0005-0000-0000-000003050000}"/>
    <cellStyle name="Accent4 2 2" xfId="1285" xr:uid="{00000000-0005-0000-0000-000004050000}"/>
    <cellStyle name="Accent4 2 2 2" xfId="1286" xr:uid="{00000000-0005-0000-0000-000005050000}"/>
    <cellStyle name="Accent4 2 2 3" xfId="1287" xr:uid="{00000000-0005-0000-0000-000006050000}"/>
    <cellStyle name="Accent4 2 2 4" xfId="1288" xr:uid="{00000000-0005-0000-0000-000007050000}"/>
    <cellStyle name="Accent4 2 2 5" xfId="1289" xr:uid="{00000000-0005-0000-0000-000008050000}"/>
    <cellStyle name="Accent4 2 3" xfId="1290" xr:uid="{00000000-0005-0000-0000-000009050000}"/>
    <cellStyle name="Accent4 2 3 2" xfId="1291" xr:uid="{00000000-0005-0000-0000-00000A050000}"/>
    <cellStyle name="Accent4 2 3 3" xfId="1292" xr:uid="{00000000-0005-0000-0000-00000B050000}"/>
    <cellStyle name="Accent4 2 4" xfId="1293" xr:uid="{00000000-0005-0000-0000-00000C050000}"/>
    <cellStyle name="Accent4 2 5" xfId="1294" xr:uid="{00000000-0005-0000-0000-00000D050000}"/>
    <cellStyle name="Accent4 3" xfId="1295" xr:uid="{00000000-0005-0000-0000-00000E050000}"/>
    <cellStyle name="Accent4 3 2" xfId="1296" xr:uid="{00000000-0005-0000-0000-00000F050000}"/>
    <cellStyle name="Accent4 3 3" xfId="1297" xr:uid="{00000000-0005-0000-0000-000010050000}"/>
    <cellStyle name="Accent4 3 4" xfId="1298" xr:uid="{00000000-0005-0000-0000-000011050000}"/>
    <cellStyle name="Accent4 4" xfId="1299" xr:uid="{00000000-0005-0000-0000-000012050000}"/>
    <cellStyle name="Accent4 4 2" xfId="1300" xr:uid="{00000000-0005-0000-0000-000013050000}"/>
    <cellStyle name="Accent4 4 3" xfId="1301" xr:uid="{00000000-0005-0000-0000-000014050000}"/>
    <cellStyle name="Accent4 4 4" xfId="1302" xr:uid="{00000000-0005-0000-0000-000015050000}"/>
    <cellStyle name="Accent4 5" xfId="1303" xr:uid="{00000000-0005-0000-0000-000016050000}"/>
    <cellStyle name="Accent4 5 2" xfId="1304" xr:uid="{00000000-0005-0000-0000-000017050000}"/>
    <cellStyle name="Accent4 5 2 2" xfId="1305" xr:uid="{00000000-0005-0000-0000-000018050000}"/>
    <cellStyle name="Accent4 5 2 3" xfId="1306" xr:uid="{00000000-0005-0000-0000-000019050000}"/>
    <cellStyle name="Accent4 5 2 4" xfId="1307" xr:uid="{00000000-0005-0000-0000-00001A050000}"/>
    <cellStyle name="Accent4 5 3" xfId="1308" xr:uid="{00000000-0005-0000-0000-00001B050000}"/>
    <cellStyle name="Accent4 5 3 2" xfId="1309" xr:uid="{00000000-0005-0000-0000-00001C050000}"/>
    <cellStyle name="Accent4 5 3 3" xfId="1310" xr:uid="{00000000-0005-0000-0000-00001D050000}"/>
    <cellStyle name="Accent4 5 4" xfId="1311" xr:uid="{00000000-0005-0000-0000-00001E050000}"/>
    <cellStyle name="Accent4 5 4 2" xfId="1312" xr:uid="{00000000-0005-0000-0000-00001F050000}"/>
    <cellStyle name="Accent4 5 4 2 2" xfId="1313" xr:uid="{00000000-0005-0000-0000-000020050000}"/>
    <cellStyle name="Accent4 5 4 3" xfId="1314" xr:uid="{00000000-0005-0000-0000-000021050000}"/>
    <cellStyle name="Accent4 5 4 3 2" xfId="1315" xr:uid="{00000000-0005-0000-0000-000022050000}"/>
    <cellStyle name="Accent4 6" xfId="1316" xr:uid="{00000000-0005-0000-0000-000023050000}"/>
    <cellStyle name="Accent4 6 2" xfId="1317" xr:uid="{00000000-0005-0000-0000-000024050000}"/>
    <cellStyle name="Accent4 6 3" xfId="1318" xr:uid="{00000000-0005-0000-0000-000025050000}"/>
    <cellStyle name="Accent4 7" xfId="1319" xr:uid="{00000000-0005-0000-0000-000026050000}"/>
    <cellStyle name="Accent4 7 2" xfId="1320" xr:uid="{00000000-0005-0000-0000-000027050000}"/>
    <cellStyle name="Accent4 8" xfId="1321" xr:uid="{00000000-0005-0000-0000-000028050000}"/>
    <cellStyle name="Accent4 9" xfId="1322" xr:uid="{00000000-0005-0000-0000-000029050000}"/>
    <cellStyle name="Accent4 9 2" xfId="1323" xr:uid="{00000000-0005-0000-0000-00002A050000}"/>
    <cellStyle name="Accent4 9 2 2" xfId="1324" xr:uid="{00000000-0005-0000-0000-00002B050000}"/>
    <cellStyle name="Accent4 9 3" xfId="1325" xr:uid="{00000000-0005-0000-0000-00002C050000}"/>
    <cellStyle name="Accent4 9 3 2" xfId="1326" xr:uid="{00000000-0005-0000-0000-00002D050000}"/>
    <cellStyle name="Accent5" xfId="1327" builtinId="45" customBuiltin="1"/>
    <cellStyle name="Accent5 10" xfId="1328" xr:uid="{00000000-0005-0000-0000-00002F050000}"/>
    <cellStyle name="Accent5 10 2" xfId="1329" xr:uid="{00000000-0005-0000-0000-000030050000}"/>
    <cellStyle name="Accent5 10 3" xfId="1330" xr:uid="{00000000-0005-0000-0000-000031050000}"/>
    <cellStyle name="Accent5 11" xfId="1331" xr:uid="{00000000-0005-0000-0000-000032050000}"/>
    <cellStyle name="Accent5 12" xfId="1332" xr:uid="{00000000-0005-0000-0000-000033050000}"/>
    <cellStyle name="Accent5 13" xfId="1333" xr:uid="{00000000-0005-0000-0000-000034050000}"/>
    <cellStyle name="Accent5 14" xfId="1334" xr:uid="{00000000-0005-0000-0000-000035050000}"/>
    <cellStyle name="Accent5 2" xfId="1335" xr:uid="{00000000-0005-0000-0000-000036050000}"/>
    <cellStyle name="Accent5 2 2" xfId="1336" xr:uid="{00000000-0005-0000-0000-000037050000}"/>
    <cellStyle name="Accent5 2 2 2" xfId="1337" xr:uid="{00000000-0005-0000-0000-000038050000}"/>
    <cellStyle name="Accent5 2 2 3" xfId="1338" xr:uid="{00000000-0005-0000-0000-000039050000}"/>
    <cellStyle name="Accent5 2 2 4" xfId="1339" xr:uid="{00000000-0005-0000-0000-00003A050000}"/>
    <cellStyle name="Accent5 2 2 5" xfId="1340" xr:uid="{00000000-0005-0000-0000-00003B050000}"/>
    <cellStyle name="Accent5 2 3" xfId="1341" xr:uid="{00000000-0005-0000-0000-00003C050000}"/>
    <cellStyle name="Accent5 2 3 2" xfId="1342" xr:uid="{00000000-0005-0000-0000-00003D050000}"/>
    <cellStyle name="Accent5 2 3 3" xfId="1343" xr:uid="{00000000-0005-0000-0000-00003E050000}"/>
    <cellStyle name="Accent5 2 4" xfId="1344" xr:uid="{00000000-0005-0000-0000-00003F050000}"/>
    <cellStyle name="Accent5 2 5" xfId="1345" xr:uid="{00000000-0005-0000-0000-000040050000}"/>
    <cellStyle name="Accent5 3" xfId="1346" xr:uid="{00000000-0005-0000-0000-000041050000}"/>
    <cellStyle name="Accent5 3 2" xfId="1347" xr:uid="{00000000-0005-0000-0000-000042050000}"/>
    <cellStyle name="Accent5 3 3" xfId="1348" xr:uid="{00000000-0005-0000-0000-000043050000}"/>
    <cellStyle name="Accent5 3 4" xfId="1349" xr:uid="{00000000-0005-0000-0000-000044050000}"/>
    <cellStyle name="Accent5 4" xfId="1350" xr:uid="{00000000-0005-0000-0000-000045050000}"/>
    <cellStyle name="Accent5 4 2" xfId="1351" xr:uid="{00000000-0005-0000-0000-000046050000}"/>
    <cellStyle name="Accent5 4 3" xfId="1352" xr:uid="{00000000-0005-0000-0000-000047050000}"/>
    <cellStyle name="Accent5 4 4" xfId="1353" xr:uid="{00000000-0005-0000-0000-000048050000}"/>
    <cellStyle name="Accent5 5" xfId="1354" xr:uid="{00000000-0005-0000-0000-000049050000}"/>
    <cellStyle name="Accent5 5 2" xfId="1355" xr:uid="{00000000-0005-0000-0000-00004A050000}"/>
    <cellStyle name="Accent5 5 2 2" xfId="1356" xr:uid="{00000000-0005-0000-0000-00004B050000}"/>
    <cellStyle name="Accent5 5 2 3" xfId="1357" xr:uid="{00000000-0005-0000-0000-00004C050000}"/>
    <cellStyle name="Accent5 5 2 4" xfId="1358" xr:uid="{00000000-0005-0000-0000-00004D050000}"/>
    <cellStyle name="Accent5 5 3" xfId="1359" xr:uid="{00000000-0005-0000-0000-00004E050000}"/>
    <cellStyle name="Accent5 5 3 2" xfId="1360" xr:uid="{00000000-0005-0000-0000-00004F050000}"/>
    <cellStyle name="Accent5 5 3 3" xfId="1361" xr:uid="{00000000-0005-0000-0000-000050050000}"/>
    <cellStyle name="Accent5 5 4" xfId="1362" xr:uid="{00000000-0005-0000-0000-000051050000}"/>
    <cellStyle name="Accent5 5 4 2" xfId="1363" xr:uid="{00000000-0005-0000-0000-000052050000}"/>
    <cellStyle name="Accent5 5 4 2 2" xfId="1364" xr:uid="{00000000-0005-0000-0000-000053050000}"/>
    <cellStyle name="Accent5 5 4 3" xfId="1365" xr:uid="{00000000-0005-0000-0000-000054050000}"/>
    <cellStyle name="Accent5 5 4 3 2" xfId="1366" xr:uid="{00000000-0005-0000-0000-000055050000}"/>
    <cellStyle name="Accent5 6" xfId="1367" xr:uid="{00000000-0005-0000-0000-000056050000}"/>
    <cellStyle name="Accent5 6 2" xfId="1368" xr:uid="{00000000-0005-0000-0000-000057050000}"/>
    <cellStyle name="Accent5 6 3" xfId="1369" xr:uid="{00000000-0005-0000-0000-000058050000}"/>
    <cellStyle name="Accent5 7" xfId="1370" xr:uid="{00000000-0005-0000-0000-000059050000}"/>
    <cellStyle name="Accent5 7 2" xfId="1371" xr:uid="{00000000-0005-0000-0000-00005A050000}"/>
    <cellStyle name="Accent5 8" xfId="1372" xr:uid="{00000000-0005-0000-0000-00005B050000}"/>
    <cellStyle name="Accent5 9" xfId="1373" xr:uid="{00000000-0005-0000-0000-00005C050000}"/>
    <cellStyle name="Accent5 9 2" xfId="1374" xr:uid="{00000000-0005-0000-0000-00005D050000}"/>
    <cellStyle name="Accent5 9 2 2" xfId="1375" xr:uid="{00000000-0005-0000-0000-00005E050000}"/>
    <cellStyle name="Accent5 9 3" xfId="1376" xr:uid="{00000000-0005-0000-0000-00005F050000}"/>
    <cellStyle name="Accent5 9 3 2" xfId="1377" xr:uid="{00000000-0005-0000-0000-000060050000}"/>
    <cellStyle name="Accent6" xfId="1378" builtinId="49" customBuiltin="1"/>
    <cellStyle name="Accent6 10" xfId="1379" xr:uid="{00000000-0005-0000-0000-000062050000}"/>
    <cellStyle name="Accent6 10 2" xfId="1380" xr:uid="{00000000-0005-0000-0000-000063050000}"/>
    <cellStyle name="Accent6 10 3" xfId="1381" xr:uid="{00000000-0005-0000-0000-000064050000}"/>
    <cellStyle name="Accent6 11" xfId="1382" xr:uid="{00000000-0005-0000-0000-000065050000}"/>
    <cellStyle name="Accent6 12" xfId="1383" xr:uid="{00000000-0005-0000-0000-000066050000}"/>
    <cellStyle name="Accent6 13" xfId="1384" xr:uid="{00000000-0005-0000-0000-000067050000}"/>
    <cellStyle name="Accent6 14" xfId="1385" xr:uid="{00000000-0005-0000-0000-000068050000}"/>
    <cellStyle name="Accent6 2" xfId="1386" xr:uid="{00000000-0005-0000-0000-000069050000}"/>
    <cellStyle name="Accent6 2 2" xfId="1387" xr:uid="{00000000-0005-0000-0000-00006A050000}"/>
    <cellStyle name="Accent6 2 2 2" xfId="1388" xr:uid="{00000000-0005-0000-0000-00006B050000}"/>
    <cellStyle name="Accent6 2 2 3" xfId="1389" xr:uid="{00000000-0005-0000-0000-00006C050000}"/>
    <cellStyle name="Accent6 2 2 4" xfId="1390" xr:uid="{00000000-0005-0000-0000-00006D050000}"/>
    <cellStyle name="Accent6 2 2 5" xfId="1391" xr:uid="{00000000-0005-0000-0000-00006E050000}"/>
    <cellStyle name="Accent6 2 3" xfId="1392" xr:uid="{00000000-0005-0000-0000-00006F050000}"/>
    <cellStyle name="Accent6 2 3 2" xfId="1393" xr:uid="{00000000-0005-0000-0000-000070050000}"/>
    <cellStyle name="Accent6 2 3 3" xfId="1394" xr:uid="{00000000-0005-0000-0000-000071050000}"/>
    <cellStyle name="Accent6 2 4" xfId="1395" xr:uid="{00000000-0005-0000-0000-000072050000}"/>
    <cellStyle name="Accent6 2 5" xfId="1396" xr:uid="{00000000-0005-0000-0000-000073050000}"/>
    <cellStyle name="Accent6 3" xfId="1397" xr:uid="{00000000-0005-0000-0000-000074050000}"/>
    <cellStyle name="Accent6 3 2" xfId="1398" xr:uid="{00000000-0005-0000-0000-000075050000}"/>
    <cellStyle name="Accent6 3 3" xfId="1399" xr:uid="{00000000-0005-0000-0000-000076050000}"/>
    <cellStyle name="Accent6 3 4" xfId="1400" xr:uid="{00000000-0005-0000-0000-000077050000}"/>
    <cellStyle name="Accent6 4" xfId="1401" xr:uid="{00000000-0005-0000-0000-000078050000}"/>
    <cellStyle name="Accent6 4 2" xfId="1402" xr:uid="{00000000-0005-0000-0000-000079050000}"/>
    <cellStyle name="Accent6 4 3" xfId="1403" xr:uid="{00000000-0005-0000-0000-00007A050000}"/>
    <cellStyle name="Accent6 4 4" xfId="1404" xr:uid="{00000000-0005-0000-0000-00007B050000}"/>
    <cellStyle name="Accent6 5" xfId="1405" xr:uid="{00000000-0005-0000-0000-00007C050000}"/>
    <cellStyle name="Accent6 5 2" xfId="1406" xr:uid="{00000000-0005-0000-0000-00007D050000}"/>
    <cellStyle name="Accent6 5 2 2" xfId="1407" xr:uid="{00000000-0005-0000-0000-00007E050000}"/>
    <cellStyle name="Accent6 5 2 3" xfId="1408" xr:uid="{00000000-0005-0000-0000-00007F050000}"/>
    <cellStyle name="Accent6 5 2 4" xfId="1409" xr:uid="{00000000-0005-0000-0000-000080050000}"/>
    <cellStyle name="Accent6 5 3" xfId="1410" xr:uid="{00000000-0005-0000-0000-000081050000}"/>
    <cellStyle name="Accent6 5 3 2" xfId="1411" xr:uid="{00000000-0005-0000-0000-000082050000}"/>
    <cellStyle name="Accent6 5 3 3" xfId="1412" xr:uid="{00000000-0005-0000-0000-000083050000}"/>
    <cellStyle name="Accent6 5 4" xfId="1413" xr:uid="{00000000-0005-0000-0000-000084050000}"/>
    <cellStyle name="Accent6 5 4 2" xfId="1414" xr:uid="{00000000-0005-0000-0000-000085050000}"/>
    <cellStyle name="Accent6 5 4 2 2" xfId="1415" xr:uid="{00000000-0005-0000-0000-000086050000}"/>
    <cellStyle name="Accent6 5 4 3" xfId="1416" xr:uid="{00000000-0005-0000-0000-000087050000}"/>
    <cellStyle name="Accent6 5 4 3 2" xfId="1417" xr:uid="{00000000-0005-0000-0000-000088050000}"/>
    <cellStyle name="Accent6 6" xfId="1418" xr:uid="{00000000-0005-0000-0000-000089050000}"/>
    <cellStyle name="Accent6 6 2" xfId="1419" xr:uid="{00000000-0005-0000-0000-00008A050000}"/>
    <cellStyle name="Accent6 6 3" xfId="1420" xr:uid="{00000000-0005-0000-0000-00008B050000}"/>
    <cellStyle name="Accent6 7" xfId="1421" xr:uid="{00000000-0005-0000-0000-00008C050000}"/>
    <cellStyle name="Accent6 7 2" xfId="1422" xr:uid="{00000000-0005-0000-0000-00008D050000}"/>
    <cellStyle name="Accent6 8" xfId="1423" xr:uid="{00000000-0005-0000-0000-00008E050000}"/>
    <cellStyle name="Accent6 9" xfId="1424" xr:uid="{00000000-0005-0000-0000-00008F050000}"/>
    <cellStyle name="Accent6 9 2" xfId="1425" xr:uid="{00000000-0005-0000-0000-000090050000}"/>
    <cellStyle name="Accent6 9 2 2" xfId="1426" xr:uid="{00000000-0005-0000-0000-000091050000}"/>
    <cellStyle name="Accent6 9 3" xfId="1427" xr:uid="{00000000-0005-0000-0000-000092050000}"/>
    <cellStyle name="Accent6 9 3 2" xfId="1428" xr:uid="{00000000-0005-0000-0000-000093050000}"/>
    <cellStyle name="Bad" xfId="1429" builtinId="27" customBuiltin="1"/>
    <cellStyle name="Bad 10" xfId="1430" xr:uid="{00000000-0005-0000-0000-000095050000}"/>
    <cellStyle name="Bad 10 2" xfId="1431" xr:uid="{00000000-0005-0000-0000-000096050000}"/>
    <cellStyle name="Bad 10 3" xfId="1432" xr:uid="{00000000-0005-0000-0000-000097050000}"/>
    <cellStyle name="Bad 11" xfId="1433" xr:uid="{00000000-0005-0000-0000-000098050000}"/>
    <cellStyle name="Bad 12" xfId="1434" xr:uid="{00000000-0005-0000-0000-000099050000}"/>
    <cellStyle name="Bad 13" xfId="1435" xr:uid="{00000000-0005-0000-0000-00009A050000}"/>
    <cellStyle name="Bad 14" xfId="1436" xr:uid="{00000000-0005-0000-0000-00009B050000}"/>
    <cellStyle name="Bad 2" xfId="1437" xr:uid="{00000000-0005-0000-0000-00009C050000}"/>
    <cellStyle name="Bad 2 2" xfId="1438" xr:uid="{00000000-0005-0000-0000-00009D050000}"/>
    <cellStyle name="Bad 2 2 2" xfId="1439" xr:uid="{00000000-0005-0000-0000-00009E050000}"/>
    <cellStyle name="Bad 2 2 3" xfId="1440" xr:uid="{00000000-0005-0000-0000-00009F050000}"/>
    <cellStyle name="Bad 2 2 4" xfId="1441" xr:uid="{00000000-0005-0000-0000-0000A0050000}"/>
    <cellStyle name="Bad 2 2 5" xfId="1442" xr:uid="{00000000-0005-0000-0000-0000A1050000}"/>
    <cellStyle name="Bad 2 3" xfId="1443" xr:uid="{00000000-0005-0000-0000-0000A2050000}"/>
    <cellStyle name="Bad 2 3 2" xfId="1444" xr:uid="{00000000-0005-0000-0000-0000A3050000}"/>
    <cellStyle name="Bad 2 3 3" xfId="1445" xr:uid="{00000000-0005-0000-0000-0000A4050000}"/>
    <cellStyle name="Bad 2 4" xfId="1446" xr:uid="{00000000-0005-0000-0000-0000A5050000}"/>
    <cellStyle name="Bad 2 5" xfId="1447" xr:uid="{00000000-0005-0000-0000-0000A6050000}"/>
    <cellStyle name="Bad 3" xfId="1448" xr:uid="{00000000-0005-0000-0000-0000A7050000}"/>
    <cellStyle name="Bad 3 2" xfId="1449" xr:uid="{00000000-0005-0000-0000-0000A8050000}"/>
    <cellStyle name="Bad 3 3" xfId="1450" xr:uid="{00000000-0005-0000-0000-0000A9050000}"/>
    <cellStyle name="Bad 3 4" xfId="1451" xr:uid="{00000000-0005-0000-0000-0000AA050000}"/>
    <cellStyle name="Bad 4" xfId="1452" xr:uid="{00000000-0005-0000-0000-0000AB050000}"/>
    <cellStyle name="Bad 4 2" xfId="1453" xr:uid="{00000000-0005-0000-0000-0000AC050000}"/>
    <cellStyle name="Bad 4 3" xfId="1454" xr:uid="{00000000-0005-0000-0000-0000AD050000}"/>
    <cellStyle name="Bad 4 4" xfId="1455" xr:uid="{00000000-0005-0000-0000-0000AE050000}"/>
    <cellStyle name="Bad 5" xfId="1456" xr:uid="{00000000-0005-0000-0000-0000AF050000}"/>
    <cellStyle name="Bad 5 2" xfId="1457" xr:uid="{00000000-0005-0000-0000-0000B0050000}"/>
    <cellStyle name="Bad 5 2 2" xfId="1458" xr:uid="{00000000-0005-0000-0000-0000B1050000}"/>
    <cellStyle name="Bad 5 2 3" xfId="1459" xr:uid="{00000000-0005-0000-0000-0000B2050000}"/>
    <cellStyle name="Bad 5 2 4" xfId="1460" xr:uid="{00000000-0005-0000-0000-0000B3050000}"/>
    <cellStyle name="Bad 5 3" xfId="1461" xr:uid="{00000000-0005-0000-0000-0000B4050000}"/>
    <cellStyle name="Bad 5 3 2" xfId="1462" xr:uid="{00000000-0005-0000-0000-0000B5050000}"/>
    <cellStyle name="Bad 5 3 3" xfId="1463" xr:uid="{00000000-0005-0000-0000-0000B6050000}"/>
    <cellStyle name="Bad 5 4" xfId="1464" xr:uid="{00000000-0005-0000-0000-0000B7050000}"/>
    <cellStyle name="Bad 5 4 2" xfId="1465" xr:uid="{00000000-0005-0000-0000-0000B8050000}"/>
    <cellStyle name="Bad 5 4 2 2" xfId="1466" xr:uid="{00000000-0005-0000-0000-0000B9050000}"/>
    <cellStyle name="Bad 5 4 3" xfId="1467" xr:uid="{00000000-0005-0000-0000-0000BA050000}"/>
    <cellStyle name="Bad 5 4 3 2" xfId="1468" xr:uid="{00000000-0005-0000-0000-0000BB050000}"/>
    <cellStyle name="Bad 6" xfId="1469" xr:uid="{00000000-0005-0000-0000-0000BC050000}"/>
    <cellStyle name="Bad 6 2" xfId="1470" xr:uid="{00000000-0005-0000-0000-0000BD050000}"/>
    <cellStyle name="Bad 6 3" xfId="1471" xr:uid="{00000000-0005-0000-0000-0000BE050000}"/>
    <cellStyle name="Bad 7" xfId="1472" xr:uid="{00000000-0005-0000-0000-0000BF050000}"/>
    <cellStyle name="Bad 7 2" xfId="1473" xr:uid="{00000000-0005-0000-0000-0000C0050000}"/>
    <cellStyle name="Bad 8" xfId="1474" xr:uid="{00000000-0005-0000-0000-0000C1050000}"/>
    <cellStyle name="Bad 9" xfId="1475" xr:uid="{00000000-0005-0000-0000-0000C2050000}"/>
    <cellStyle name="Bad 9 2" xfId="1476" xr:uid="{00000000-0005-0000-0000-0000C3050000}"/>
    <cellStyle name="Bad 9 2 2" xfId="1477" xr:uid="{00000000-0005-0000-0000-0000C4050000}"/>
    <cellStyle name="Bad 9 3" xfId="1478" xr:uid="{00000000-0005-0000-0000-0000C5050000}"/>
    <cellStyle name="Bad 9 3 2" xfId="1479" xr:uid="{00000000-0005-0000-0000-0000C6050000}"/>
    <cellStyle name="Calculation" xfId="1480" builtinId="22" customBuiltin="1"/>
    <cellStyle name="Calculation 10" xfId="1481" xr:uid="{00000000-0005-0000-0000-0000C8050000}"/>
    <cellStyle name="Calculation 10 2" xfId="1482" xr:uid="{00000000-0005-0000-0000-0000C9050000}"/>
    <cellStyle name="Calculation 10 3" xfId="1483" xr:uid="{00000000-0005-0000-0000-0000CA050000}"/>
    <cellStyle name="Calculation 11" xfId="1484" xr:uid="{00000000-0005-0000-0000-0000CB050000}"/>
    <cellStyle name="Calculation 12" xfId="1485" xr:uid="{00000000-0005-0000-0000-0000CC050000}"/>
    <cellStyle name="Calculation 13" xfId="1486" xr:uid="{00000000-0005-0000-0000-0000CD050000}"/>
    <cellStyle name="Calculation 14" xfId="1487" xr:uid="{00000000-0005-0000-0000-0000CE050000}"/>
    <cellStyle name="Calculation 2" xfId="1488" xr:uid="{00000000-0005-0000-0000-0000CF050000}"/>
    <cellStyle name="Calculation 2 2" xfId="1489" xr:uid="{00000000-0005-0000-0000-0000D0050000}"/>
    <cellStyle name="Calculation 2 2 2" xfId="1490" xr:uid="{00000000-0005-0000-0000-0000D1050000}"/>
    <cellStyle name="Calculation 2 2 3" xfId="1491" xr:uid="{00000000-0005-0000-0000-0000D2050000}"/>
    <cellStyle name="Calculation 2 2 4" xfId="1492" xr:uid="{00000000-0005-0000-0000-0000D3050000}"/>
    <cellStyle name="Calculation 2 2 5" xfId="1493" xr:uid="{00000000-0005-0000-0000-0000D4050000}"/>
    <cellStyle name="Calculation 2 3" xfId="1494" xr:uid="{00000000-0005-0000-0000-0000D5050000}"/>
    <cellStyle name="Calculation 2 3 2" xfId="1495" xr:uid="{00000000-0005-0000-0000-0000D6050000}"/>
    <cellStyle name="Calculation 2 3 3" xfId="1496" xr:uid="{00000000-0005-0000-0000-0000D7050000}"/>
    <cellStyle name="Calculation 2 4" xfId="1497" xr:uid="{00000000-0005-0000-0000-0000D8050000}"/>
    <cellStyle name="Calculation 2 5" xfId="1498" xr:uid="{00000000-0005-0000-0000-0000D9050000}"/>
    <cellStyle name="Calculation 3" xfId="1499" xr:uid="{00000000-0005-0000-0000-0000DA050000}"/>
    <cellStyle name="Calculation 3 2" xfId="1500" xr:uid="{00000000-0005-0000-0000-0000DB050000}"/>
    <cellStyle name="Calculation 3 3" xfId="1501" xr:uid="{00000000-0005-0000-0000-0000DC050000}"/>
    <cellStyle name="Calculation 3 4" xfId="1502" xr:uid="{00000000-0005-0000-0000-0000DD050000}"/>
    <cellStyle name="Calculation 4" xfId="1503" xr:uid="{00000000-0005-0000-0000-0000DE050000}"/>
    <cellStyle name="Calculation 4 2" xfId="1504" xr:uid="{00000000-0005-0000-0000-0000DF050000}"/>
    <cellStyle name="Calculation 4 3" xfId="1505" xr:uid="{00000000-0005-0000-0000-0000E0050000}"/>
    <cellStyle name="Calculation 4 4" xfId="1506" xr:uid="{00000000-0005-0000-0000-0000E1050000}"/>
    <cellStyle name="Calculation 5" xfId="1507" xr:uid="{00000000-0005-0000-0000-0000E2050000}"/>
    <cellStyle name="Calculation 5 2" xfId="1508" xr:uid="{00000000-0005-0000-0000-0000E3050000}"/>
    <cellStyle name="Calculation 5 2 2" xfId="1509" xr:uid="{00000000-0005-0000-0000-0000E4050000}"/>
    <cellStyle name="Calculation 5 2 3" xfId="1510" xr:uid="{00000000-0005-0000-0000-0000E5050000}"/>
    <cellStyle name="Calculation 5 2 4" xfId="1511" xr:uid="{00000000-0005-0000-0000-0000E6050000}"/>
    <cellStyle name="Calculation 5 3" xfId="1512" xr:uid="{00000000-0005-0000-0000-0000E7050000}"/>
    <cellStyle name="Calculation 5 3 2" xfId="1513" xr:uid="{00000000-0005-0000-0000-0000E8050000}"/>
    <cellStyle name="Calculation 5 3 3" xfId="1514" xr:uid="{00000000-0005-0000-0000-0000E9050000}"/>
    <cellStyle name="Calculation 5 4" xfId="1515" xr:uid="{00000000-0005-0000-0000-0000EA050000}"/>
    <cellStyle name="Calculation 5 4 2" xfId="1516" xr:uid="{00000000-0005-0000-0000-0000EB050000}"/>
    <cellStyle name="Calculation 5 4 2 2" xfId="1517" xr:uid="{00000000-0005-0000-0000-0000EC050000}"/>
    <cellStyle name="Calculation 5 4 3" xfId="1518" xr:uid="{00000000-0005-0000-0000-0000ED050000}"/>
    <cellStyle name="Calculation 5 4 3 2" xfId="1519" xr:uid="{00000000-0005-0000-0000-0000EE050000}"/>
    <cellStyle name="Calculation 6" xfId="1520" xr:uid="{00000000-0005-0000-0000-0000EF050000}"/>
    <cellStyle name="Calculation 6 2" xfId="1521" xr:uid="{00000000-0005-0000-0000-0000F0050000}"/>
    <cellStyle name="Calculation 6 3" xfId="1522" xr:uid="{00000000-0005-0000-0000-0000F1050000}"/>
    <cellStyle name="Calculation 7" xfId="1523" xr:uid="{00000000-0005-0000-0000-0000F2050000}"/>
    <cellStyle name="Calculation 7 2" xfId="1524" xr:uid="{00000000-0005-0000-0000-0000F3050000}"/>
    <cellStyle name="Calculation 8" xfId="1525" xr:uid="{00000000-0005-0000-0000-0000F4050000}"/>
    <cellStyle name="Calculation 9" xfId="1526" xr:uid="{00000000-0005-0000-0000-0000F5050000}"/>
    <cellStyle name="Calculation 9 2" xfId="1527" xr:uid="{00000000-0005-0000-0000-0000F6050000}"/>
    <cellStyle name="Calculation 9 2 2" xfId="1528" xr:uid="{00000000-0005-0000-0000-0000F7050000}"/>
    <cellStyle name="Calculation 9 3" xfId="1529" xr:uid="{00000000-0005-0000-0000-0000F8050000}"/>
    <cellStyle name="Calculation 9 3 2" xfId="1530" xr:uid="{00000000-0005-0000-0000-0000F9050000}"/>
    <cellStyle name="Check Cell" xfId="1531" builtinId="23" customBuiltin="1"/>
    <cellStyle name="Check Cell 10" xfId="1532" xr:uid="{00000000-0005-0000-0000-0000FB050000}"/>
    <cellStyle name="Check Cell 10 2" xfId="1533" xr:uid="{00000000-0005-0000-0000-0000FC050000}"/>
    <cellStyle name="Check Cell 10 3" xfId="1534" xr:uid="{00000000-0005-0000-0000-0000FD050000}"/>
    <cellStyle name="Check Cell 11" xfId="1535" xr:uid="{00000000-0005-0000-0000-0000FE050000}"/>
    <cellStyle name="Check Cell 12" xfId="1536" xr:uid="{00000000-0005-0000-0000-0000FF050000}"/>
    <cellStyle name="Check Cell 13" xfId="1537" xr:uid="{00000000-0005-0000-0000-000000060000}"/>
    <cellStyle name="Check Cell 14" xfId="1538" xr:uid="{00000000-0005-0000-0000-000001060000}"/>
    <cellStyle name="Check Cell 2" xfId="1539" xr:uid="{00000000-0005-0000-0000-000002060000}"/>
    <cellStyle name="Check Cell 2 2" xfId="1540" xr:uid="{00000000-0005-0000-0000-000003060000}"/>
    <cellStyle name="Check Cell 2 2 2" xfId="1541" xr:uid="{00000000-0005-0000-0000-000004060000}"/>
    <cellStyle name="Check Cell 2 2 3" xfId="1542" xr:uid="{00000000-0005-0000-0000-000005060000}"/>
    <cellStyle name="Check Cell 2 2 4" xfId="1543" xr:uid="{00000000-0005-0000-0000-000006060000}"/>
    <cellStyle name="Check Cell 2 2 5" xfId="1544" xr:uid="{00000000-0005-0000-0000-000007060000}"/>
    <cellStyle name="Check Cell 2 3" xfId="1545" xr:uid="{00000000-0005-0000-0000-000008060000}"/>
    <cellStyle name="Check Cell 2 3 2" xfId="1546" xr:uid="{00000000-0005-0000-0000-000009060000}"/>
    <cellStyle name="Check Cell 2 3 3" xfId="1547" xr:uid="{00000000-0005-0000-0000-00000A060000}"/>
    <cellStyle name="Check Cell 2 4" xfId="1548" xr:uid="{00000000-0005-0000-0000-00000B060000}"/>
    <cellStyle name="Check Cell 2 5" xfId="1549" xr:uid="{00000000-0005-0000-0000-00000C060000}"/>
    <cellStyle name="Check Cell 3" xfId="1550" xr:uid="{00000000-0005-0000-0000-00000D060000}"/>
    <cellStyle name="Check Cell 3 2" xfId="1551" xr:uid="{00000000-0005-0000-0000-00000E060000}"/>
    <cellStyle name="Check Cell 3 3" xfId="1552" xr:uid="{00000000-0005-0000-0000-00000F060000}"/>
    <cellStyle name="Check Cell 3 4" xfId="1553" xr:uid="{00000000-0005-0000-0000-000010060000}"/>
    <cellStyle name="Check Cell 4" xfId="1554" xr:uid="{00000000-0005-0000-0000-000011060000}"/>
    <cellStyle name="Check Cell 4 2" xfId="1555" xr:uid="{00000000-0005-0000-0000-000012060000}"/>
    <cellStyle name="Check Cell 4 3" xfId="1556" xr:uid="{00000000-0005-0000-0000-000013060000}"/>
    <cellStyle name="Check Cell 4 4" xfId="1557" xr:uid="{00000000-0005-0000-0000-000014060000}"/>
    <cellStyle name="Check Cell 5" xfId="1558" xr:uid="{00000000-0005-0000-0000-000015060000}"/>
    <cellStyle name="Check Cell 5 2" xfId="1559" xr:uid="{00000000-0005-0000-0000-000016060000}"/>
    <cellStyle name="Check Cell 5 2 2" xfId="1560" xr:uid="{00000000-0005-0000-0000-000017060000}"/>
    <cellStyle name="Check Cell 5 2 3" xfId="1561" xr:uid="{00000000-0005-0000-0000-000018060000}"/>
    <cellStyle name="Check Cell 5 2 4" xfId="1562" xr:uid="{00000000-0005-0000-0000-000019060000}"/>
    <cellStyle name="Check Cell 5 3" xfId="1563" xr:uid="{00000000-0005-0000-0000-00001A060000}"/>
    <cellStyle name="Check Cell 5 3 2" xfId="1564" xr:uid="{00000000-0005-0000-0000-00001B060000}"/>
    <cellStyle name="Check Cell 5 3 3" xfId="1565" xr:uid="{00000000-0005-0000-0000-00001C060000}"/>
    <cellStyle name="Check Cell 5 4" xfId="1566" xr:uid="{00000000-0005-0000-0000-00001D060000}"/>
    <cellStyle name="Check Cell 5 4 2" xfId="1567" xr:uid="{00000000-0005-0000-0000-00001E060000}"/>
    <cellStyle name="Check Cell 5 4 2 2" xfId="1568" xr:uid="{00000000-0005-0000-0000-00001F060000}"/>
    <cellStyle name="Check Cell 5 4 3" xfId="1569" xr:uid="{00000000-0005-0000-0000-000020060000}"/>
    <cellStyle name="Check Cell 5 4 3 2" xfId="1570" xr:uid="{00000000-0005-0000-0000-000021060000}"/>
    <cellStyle name="Check Cell 6" xfId="1571" xr:uid="{00000000-0005-0000-0000-000022060000}"/>
    <cellStyle name="Check Cell 6 2" xfId="1572" xr:uid="{00000000-0005-0000-0000-000023060000}"/>
    <cellStyle name="Check Cell 6 3" xfId="1573" xr:uid="{00000000-0005-0000-0000-000024060000}"/>
    <cellStyle name="Check Cell 7" xfId="1574" xr:uid="{00000000-0005-0000-0000-000025060000}"/>
    <cellStyle name="Check Cell 7 2" xfId="1575" xr:uid="{00000000-0005-0000-0000-000026060000}"/>
    <cellStyle name="Check Cell 8" xfId="1576" xr:uid="{00000000-0005-0000-0000-000027060000}"/>
    <cellStyle name="Check Cell 9" xfId="1577" xr:uid="{00000000-0005-0000-0000-000028060000}"/>
    <cellStyle name="Check Cell 9 2" xfId="1578" xr:uid="{00000000-0005-0000-0000-000029060000}"/>
    <cellStyle name="Check Cell 9 2 2" xfId="1579" xr:uid="{00000000-0005-0000-0000-00002A060000}"/>
    <cellStyle name="Check Cell 9 3" xfId="1580" xr:uid="{00000000-0005-0000-0000-00002B060000}"/>
    <cellStyle name="Check Cell 9 3 2" xfId="1581" xr:uid="{00000000-0005-0000-0000-00002C060000}"/>
    <cellStyle name="Comma" xfId="1582" builtinId="3"/>
    <cellStyle name="Comma 10" xfId="1583" xr:uid="{00000000-0005-0000-0000-00002E060000}"/>
    <cellStyle name="Comma 11" xfId="1584" xr:uid="{00000000-0005-0000-0000-00002F060000}"/>
    <cellStyle name="Comma 12" xfId="1585" xr:uid="{00000000-0005-0000-0000-000030060000}"/>
    <cellStyle name="Comma 13" xfId="1586" xr:uid="{00000000-0005-0000-0000-000031060000}"/>
    <cellStyle name="Comma 14" xfId="1587" xr:uid="{00000000-0005-0000-0000-000032060000}"/>
    <cellStyle name="Comma 15" xfId="1588" xr:uid="{00000000-0005-0000-0000-000033060000}"/>
    <cellStyle name="Comma 16" xfId="1589" xr:uid="{00000000-0005-0000-0000-000034060000}"/>
    <cellStyle name="Comma 2" xfId="1590" xr:uid="{00000000-0005-0000-0000-000035060000}"/>
    <cellStyle name="Comma 2 2" xfId="1591" xr:uid="{00000000-0005-0000-0000-000036060000}"/>
    <cellStyle name="Comma 3" xfId="1592" xr:uid="{00000000-0005-0000-0000-000037060000}"/>
    <cellStyle name="Comma 3 2" xfId="1593" xr:uid="{00000000-0005-0000-0000-000038060000}"/>
    <cellStyle name="Comma 4" xfId="1594" xr:uid="{00000000-0005-0000-0000-000039060000}"/>
    <cellStyle name="Comma 5" xfId="1595" xr:uid="{00000000-0005-0000-0000-00003A060000}"/>
    <cellStyle name="Comma 5 2" xfId="1596" xr:uid="{00000000-0005-0000-0000-00003B060000}"/>
    <cellStyle name="Comma 5 3" xfId="1597" xr:uid="{00000000-0005-0000-0000-00003C060000}"/>
    <cellStyle name="Comma 6" xfId="1598" xr:uid="{00000000-0005-0000-0000-00003D060000}"/>
    <cellStyle name="Comma 6 10" xfId="1599" xr:uid="{00000000-0005-0000-0000-00003E060000}"/>
    <cellStyle name="Comma 6 2" xfId="1600" xr:uid="{00000000-0005-0000-0000-00003F060000}"/>
    <cellStyle name="Comma 6 2 2" xfId="1601" xr:uid="{00000000-0005-0000-0000-000040060000}"/>
    <cellStyle name="Comma 6 2 2 2" xfId="1602" xr:uid="{00000000-0005-0000-0000-000041060000}"/>
    <cellStyle name="Comma 6 2 2 2 2" xfId="1603" xr:uid="{00000000-0005-0000-0000-000042060000}"/>
    <cellStyle name="Comma 6 2 2 2 2 2" xfId="1604" xr:uid="{00000000-0005-0000-0000-000043060000}"/>
    <cellStyle name="Comma 6 2 2 2 3" xfId="1605" xr:uid="{00000000-0005-0000-0000-000044060000}"/>
    <cellStyle name="Comma 6 2 2 2 3 2" xfId="1606" xr:uid="{00000000-0005-0000-0000-000045060000}"/>
    <cellStyle name="Comma 6 2 2 2 4" xfId="1607" xr:uid="{00000000-0005-0000-0000-000046060000}"/>
    <cellStyle name="Comma 6 2 2 3" xfId="1608" xr:uid="{00000000-0005-0000-0000-000047060000}"/>
    <cellStyle name="Comma 6 2 2 3 2" xfId="1609" xr:uid="{00000000-0005-0000-0000-000048060000}"/>
    <cellStyle name="Comma 6 2 2 3 2 2" xfId="1610" xr:uid="{00000000-0005-0000-0000-000049060000}"/>
    <cellStyle name="Comma 6 2 2 3 3" xfId="1611" xr:uid="{00000000-0005-0000-0000-00004A060000}"/>
    <cellStyle name="Comma 6 2 2 4" xfId="1612" xr:uid="{00000000-0005-0000-0000-00004B060000}"/>
    <cellStyle name="Comma 6 2 2 4 2" xfId="1613" xr:uid="{00000000-0005-0000-0000-00004C060000}"/>
    <cellStyle name="Comma 6 2 2 5" xfId="1614" xr:uid="{00000000-0005-0000-0000-00004D060000}"/>
    <cellStyle name="Comma 6 2 2 5 2" xfId="1615" xr:uid="{00000000-0005-0000-0000-00004E060000}"/>
    <cellStyle name="Comma 6 2 2 6" xfId="1616" xr:uid="{00000000-0005-0000-0000-00004F060000}"/>
    <cellStyle name="Comma 6 2 3" xfId="1617" xr:uid="{00000000-0005-0000-0000-000050060000}"/>
    <cellStyle name="Comma 6 2 3 2" xfId="1618" xr:uid="{00000000-0005-0000-0000-000051060000}"/>
    <cellStyle name="Comma 6 2 3 2 2" xfId="1619" xr:uid="{00000000-0005-0000-0000-000052060000}"/>
    <cellStyle name="Comma 6 2 3 2 2 2" xfId="1620" xr:uid="{00000000-0005-0000-0000-000053060000}"/>
    <cellStyle name="Comma 6 2 3 2 3" xfId="1621" xr:uid="{00000000-0005-0000-0000-000054060000}"/>
    <cellStyle name="Comma 6 2 3 2 3 2" xfId="1622" xr:uid="{00000000-0005-0000-0000-000055060000}"/>
    <cellStyle name="Comma 6 2 3 2 4" xfId="1623" xr:uid="{00000000-0005-0000-0000-000056060000}"/>
    <cellStyle name="Comma 6 2 3 3" xfId="1624" xr:uid="{00000000-0005-0000-0000-000057060000}"/>
    <cellStyle name="Comma 6 2 3 3 2" xfId="1625" xr:uid="{00000000-0005-0000-0000-000058060000}"/>
    <cellStyle name="Comma 6 2 3 3 2 2" xfId="1626" xr:uid="{00000000-0005-0000-0000-000059060000}"/>
    <cellStyle name="Comma 6 2 3 3 3" xfId="1627" xr:uid="{00000000-0005-0000-0000-00005A060000}"/>
    <cellStyle name="Comma 6 2 3 4" xfId="1628" xr:uid="{00000000-0005-0000-0000-00005B060000}"/>
    <cellStyle name="Comma 6 2 3 4 2" xfId="1629" xr:uid="{00000000-0005-0000-0000-00005C060000}"/>
    <cellStyle name="Comma 6 2 3 5" xfId="1630" xr:uid="{00000000-0005-0000-0000-00005D060000}"/>
    <cellStyle name="Comma 6 2 3 5 2" xfId="1631" xr:uid="{00000000-0005-0000-0000-00005E060000}"/>
    <cellStyle name="Comma 6 2 3 6" xfId="1632" xr:uid="{00000000-0005-0000-0000-00005F060000}"/>
    <cellStyle name="Comma 6 2 4" xfId="1633" xr:uid="{00000000-0005-0000-0000-000060060000}"/>
    <cellStyle name="Comma 6 2 4 2" xfId="1634" xr:uid="{00000000-0005-0000-0000-000061060000}"/>
    <cellStyle name="Comma 6 2 4 2 2" xfId="1635" xr:uid="{00000000-0005-0000-0000-000062060000}"/>
    <cellStyle name="Comma 6 2 4 3" xfId="1636" xr:uid="{00000000-0005-0000-0000-000063060000}"/>
    <cellStyle name="Comma 6 2 4 3 2" xfId="1637" xr:uid="{00000000-0005-0000-0000-000064060000}"/>
    <cellStyle name="Comma 6 2 4 4" xfId="1638" xr:uid="{00000000-0005-0000-0000-000065060000}"/>
    <cellStyle name="Comma 6 2 5" xfId="1639" xr:uid="{00000000-0005-0000-0000-000066060000}"/>
    <cellStyle name="Comma 6 2 5 2" xfId="1640" xr:uid="{00000000-0005-0000-0000-000067060000}"/>
    <cellStyle name="Comma 6 2 5 2 2" xfId="1641" xr:uid="{00000000-0005-0000-0000-000068060000}"/>
    <cellStyle name="Comma 6 2 5 3" xfId="1642" xr:uid="{00000000-0005-0000-0000-000069060000}"/>
    <cellStyle name="Comma 6 2 6" xfId="1643" xr:uid="{00000000-0005-0000-0000-00006A060000}"/>
    <cellStyle name="Comma 6 2 6 2" xfId="1644" xr:uid="{00000000-0005-0000-0000-00006B060000}"/>
    <cellStyle name="Comma 6 2 7" xfId="1645" xr:uid="{00000000-0005-0000-0000-00006C060000}"/>
    <cellStyle name="Comma 6 2 7 2" xfId="1646" xr:uid="{00000000-0005-0000-0000-00006D060000}"/>
    <cellStyle name="Comma 6 2 8" xfId="1647" xr:uid="{00000000-0005-0000-0000-00006E060000}"/>
    <cellStyle name="Comma 6 3" xfId="1648" xr:uid="{00000000-0005-0000-0000-00006F060000}"/>
    <cellStyle name="Comma 6 4" xfId="1649" xr:uid="{00000000-0005-0000-0000-000070060000}"/>
    <cellStyle name="Comma 6 4 2" xfId="1650" xr:uid="{00000000-0005-0000-0000-000071060000}"/>
    <cellStyle name="Comma 6 4 2 2" xfId="1651" xr:uid="{00000000-0005-0000-0000-000072060000}"/>
    <cellStyle name="Comma 6 4 2 2 2" xfId="1652" xr:uid="{00000000-0005-0000-0000-000073060000}"/>
    <cellStyle name="Comma 6 4 2 3" xfId="1653" xr:uid="{00000000-0005-0000-0000-000074060000}"/>
    <cellStyle name="Comma 6 4 2 3 2" xfId="1654" xr:uid="{00000000-0005-0000-0000-000075060000}"/>
    <cellStyle name="Comma 6 4 2 4" xfId="1655" xr:uid="{00000000-0005-0000-0000-000076060000}"/>
    <cellStyle name="Comma 6 4 3" xfId="1656" xr:uid="{00000000-0005-0000-0000-000077060000}"/>
    <cellStyle name="Comma 6 4 3 2" xfId="1657" xr:uid="{00000000-0005-0000-0000-000078060000}"/>
    <cellStyle name="Comma 6 4 3 2 2" xfId="1658" xr:uid="{00000000-0005-0000-0000-000079060000}"/>
    <cellStyle name="Comma 6 4 3 3" xfId="1659" xr:uid="{00000000-0005-0000-0000-00007A060000}"/>
    <cellStyle name="Comma 6 4 4" xfId="1660" xr:uid="{00000000-0005-0000-0000-00007B060000}"/>
    <cellStyle name="Comma 6 4 4 2" xfId="1661" xr:uid="{00000000-0005-0000-0000-00007C060000}"/>
    <cellStyle name="Comma 6 4 5" xfId="1662" xr:uid="{00000000-0005-0000-0000-00007D060000}"/>
    <cellStyle name="Comma 6 4 5 2" xfId="1663" xr:uid="{00000000-0005-0000-0000-00007E060000}"/>
    <cellStyle name="Comma 6 4 6" xfId="1664" xr:uid="{00000000-0005-0000-0000-00007F060000}"/>
    <cellStyle name="Comma 6 5" xfId="1665" xr:uid="{00000000-0005-0000-0000-000080060000}"/>
    <cellStyle name="Comma 6 5 2" xfId="1666" xr:uid="{00000000-0005-0000-0000-000081060000}"/>
    <cellStyle name="Comma 6 5 2 2" xfId="1667" xr:uid="{00000000-0005-0000-0000-000082060000}"/>
    <cellStyle name="Comma 6 5 2 2 2" xfId="1668" xr:uid="{00000000-0005-0000-0000-000083060000}"/>
    <cellStyle name="Comma 6 5 2 3" xfId="1669" xr:uid="{00000000-0005-0000-0000-000084060000}"/>
    <cellStyle name="Comma 6 5 2 3 2" xfId="1670" xr:uid="{00000000-0005-0000-0000-000085060000}"/>
    <cellStyle name="Comma 6 5 2 4" xfId="1671" xr:uid="{00000000-0005-0000-0000-000086060000}"/>
    <cellStyle name="Comma 6 5 3" xfId="1672" xr:uid="{00000000-0005-0000-0000-000087060000}"/>
    <cellStyle name="Comma 6 5 3 2" xfId="1673" xr:uid="{00000000-0005-0000-0000-000088060000}"/>
    <cellStyle name="Comma 6 5 3 2 2" xfId="1674" xr:uid="{00000000-0005-0000-0000-000089060000}"/>
    <cellStyle name="Comma 6 5 3 3" xfId="1675" xr:uid="{00000000-0005-0000-0000-00008A060000}"/>
    <cellStyle name="Comma 6 5 4" xfId="1676" xr:uid="{00000000-0005-0000-0000-00008B060000}"/>
    <cellStyle name="Comma 6 5 4 2" xfId="1677" xr:uid="{00000000-0005-0000-0000-00008C060000}"/>
    <cellStyle name="Comma 6 5 5" xfId="1678" xr:uid="{00000000-0005-0000-0000-00008D060000}"/>
    <cellStyle name="Comma 6 5 5 2" xfId="1679" xr:uid="{00000000-0005-0000-0000-00008E060000}"/>
    <cellStyle name="Comma 6 5 6" xfId="1680" xr:uid="{00000000-0005-0000-0000-00008F060000}"/>
    <cellStyle name="Comma 6 6" xfId="1681" xr:uid="{00000000-0005-0000-0000-000090060000}"/>
    <cellStyle name="Comma 6 6 2" xfId="1682" xr:uid="{00000000-0005-0000-0000-000091060000}"/>
    <cellStyle name="Comma 6 6 2 2" xfId="1683" xr:uid="{00000000-0005-0000-0000-000092060000}"/>
    <cellStyle name="Comma 6 6 3" xfId="1684" xr:uid="{00000000-0005-0000-0000-000093060000}"/>
    <cellStyle name="Comma 6 6 3 2" xfId="1685" xr:uid="{00000000-0005-0000-0000-000094060000}"/>
    <cellStyle name="Comma 6 6 4" xfId="1686" xr:uid="{00000000-0005-0000-0000-000095060000}"/>
    <cellStyle name="Comma 6 7" xfId="1687" xr:uid="{00000000-0005-0000-0000-000096060000}"/>
    <cellStyle name="Comma 6 7 2" xfId="1688" xr:uid="{00000000-0005-0000-0000-000097060000}"/>
    <cellStyle name="Comma 6 7 2 2" xfId="1689" xr:uid="{00000000-0005-0000-0000-000098060000}"/>
    <cellStyle name="Comma 6 7 3" xfId="1690" xr:uid="{00000000-0005-0000-0000-000099060000}"/>
    <cellStyle name="Comma 6 7 3 2" xfId="1691" xr:uid="{00000000-0005-0000-0000-00009A060000}"/>
    <cellStyle name="Comma 6 7 4" xfId="1692" xr:uid="{00000000-0005-0000-0000-00009B060000}"/>
    <cellStyle name="Comma 6 8" xfId="1693" xr:uid="{00000000-0005-0000-0000-00009C060000}"/>
    <cellStyle name="Comma 6 9" xfId="1694" xr:uid="{00000000-0005-0000-0000-00009D060000}"/>
    <cellStyle name="Comma 7" xfId="1695" xr:uid="{00000000-0005-0000-0000-00009E060000}"/>
    <cellStyle name="Comma 7 2" xfId="1696" xr:uid="{00000000-0005-0000-0000-00009F060000}"/>
    <cellStyle name="Comma 7 3" xfId="1697" xr:uid="{00000000-0005-0000-0000-0000A0060000}"/>
    <cellStyle name="Comma 8" xfId="1698" xr:uid="{00000000-0005-0000-0000-0000A1060000}"/>
    <cellStyle name="Comma 9" xfId="1699" xr:uid="{00000000-0005-0000-0000-0000A2060000}"/>
    <cellStyle name="Currency" xfId="1700" builtinId="4"/>
    <cellStyle name="Currency 10" xfId="1701" xr:uid="{00000000-0005-0000-0000-0000A4060000}"/>
    <cellStyle name="Currency 11" xfId="1702" xr:uid="{00000000-0005-0000-0000-0000A5060000}"/>
    <cellStyle name="Currency 12" xfId="1703" xr:uid="{00000000-0005-0000-0000-0000A6060000}"/>
    <cellStyle name="Currency 13" xfId="1704" xr:uid="{00000000-0005-0000-0000-0000A7060000}"/>
    <cellStyle name="Currency 14" xfId="1705" xr:uid="{00000000-0005-0000-0000-0000A8060000}"/>
    <cellStyle name="Currency 2" xfId="1706" xr:uid="{00000000-0005-0000-0000-0000A9060000}"/>
    <cellStyle name="Currency 2 2" xfId="1707" xr:uid="{00000000-0005-0000-0000-0000AA060000}"/>
    <cellStyle name="Currency 3" xfId="1708" xr:uid="{00000000-0005-0000-0000-0000AB060000}"/>
    <cellStyle name="Currency 3 2" xfId="1709" xr:uid="{00000000-0005-0000-0000-0000AC060000}"/>
    <cellStyle name="Currency 4" xfId="1710" xr:uid="{00000000-0005-0000-0000-0000AD060000}"/>
    <cellStyle name="Currency 5" xfId="1711" xr:uid="{00000000-0005-0000-0000-0000AE060000}"/>
    <cellStyle name="Currency 6" xfId="1712" xr:uid="{00000000-0005-0000-0000-0000AF060000}"/>
    <cellStyle name="Currency 7" xfId="1713" xr:uid="{00000000-0005-0000-0000-0000B0060000}"/>
    <cellStyle name="Currency 8" xfId="1714" xr:uid="{00000000-0005-0000-0000-0000B1060000}"/>
    <cellStyle name="Currency 9" xfId="1715" xr:uid="{00000000-0005-0000-0000-0000B2060000}"/>
    <cellStyle name="Explanatory Text" xfId="1716" builtinId="53" customBuiltin="1"/>
    <cellStyle name="Explanatory Text 10" xfId="1717" xr:uid="{00000000-0005-0000-0000-0000B4060000}"/>
    <cellStyle name="Explanatory Text 10 2" xfId="1718" xr:uid="{00000000-0005-0000-0000-0000B5060000}"/>
    <cellStyle name="Explanatory Text 10 3" xfId="1719" xr:uid="{00000000-0005-0000-0000-0000B6060000}"/>
    <cellStyle name="Explanatory Text 11" xfId="1720" xr:uid="{00000000-0005-0000-0000-0000B7060000}"/>
    <cellStyle name="Explanatory Text 12" xfId="1721" xr:uid="{00000000-0005-0000-0000-0000B8060000}"/>
    <cellStyle name="Explanatory Text 13" xfId="1722" xr:uid="{00000000-0005-0000-0000-0000B9060000}"/>
    <cellStyle name="Explanatory Text 14" xfId="1723" xr:uid="{00000000-0005-0000-0000-0000BA060000}"/>
    <cellStyle name="Explanatory Text 2" xfId="1724" xr:uid="{00000000-0005-0000-0000-0000BB060000}"/>
    <cellStyle name="Explanatory Text 2 2" xfId="1725" xr:uid="{00000000-0005-0000-0000-0000BC060000}"/>
    <cellStyle name="Explanatory Text 2 2 2" xfId="1726" xr:uid="{00000000-0005-0000-0000-0000BD060000}"/>
    <cellStyle name="Explanatory Text 2 2 3" xfId="1727" xr:uid="{00000000-0005-0000-0000-0000BE060000}"/>
    <cellStyle name="Explanatory Text 2 2 4" xfId="1728" xr:uid="{00000000-0005-0000-0000-0000BF060000}"/>
    <cellStyle name="Explanatory Text 2 2 5" xfId="1729" xr:uid="{00000000-0005-0000-0000-0000C0060000}"/>
    <cellStyle name="Explanatory Text 2 3" xfId="1730" xr:uid="{00000000-0005-0000-0000-0000C1060000}"/>
    <cellStyle name="Explanatory Text 2 3 2" xfId="1731" xr:uid="{00000000-0005-0000-0000-0000C2060000}"/>
    <cellStyle name="Explanatory Text 2 3 3" xfId="1732" xr:uid="{00000000-0005-0000-0000-0000C3060000}"/>
    <cellStyle name="Explanatory Text 2 4" xfId="1733" xr:uid="{00000000-0005-0000-0000-0000C4060000}"/>
    <cellStyle name="Explanatory Text 2 5" xfId="1734" xr:uid="{00000000-0005-0000-0000-0000C5060000}"/>
    <cellStyle name="Explanatory Text 3" xfId="1735" xr:uid="{00000000-0005-0000-0000-0000C6060000}"/>
    <cellStyle name="Explanatory Text 3 2" xfId="1736" xr:uid="{00000000-0005-0000-0000-0000C7060000}"/>
    <cellStyle name="Explanatory Text 3 3" xfId="1737" xr:uid="{00000000-0005-0000-0000-0000C8060000}"/>
    <cellStyle name="Explanatory Text 3 4" xfId="1738" xr:uid="{00000000-0005-0000-0000-0000C9060000}"/>
    <cellStyle name="Explanatory Text 4" xfId="1739" xr:uid="{00000000-0005-0000-0000-0000CA060000}"/>
    <cellStyle name="Explanatory Text 4 2" xfId="1740" xr:uid="{00000000-0005-0000-0000-0000CB060000}"/>
    <cellStyle name="Explanatory Text 4 3" xfId="1741" xr:uid="{00000000-0005-0000-0000-0000CC060000}"/>
    <cellStyle name="Explanatory Text 4 4" xfId="1742" xr:uid="{00000000-0005-0000-0000-0000CD060000}"/>
    <cellStyle name="Explanatory Text 5" xfId="1743" xr:uid="{00000000-0005-0000-0000-0000CE060000}"/>
    <cellStyle name="Explanatory Text 5 2" xfId="1744" xr:uid="{00000000-0005-0000-0000-0000CF060000}"/>
    <cellStyle name="Explanatory Text 5 2 2" xfId="1745" xr:uid="{00000000-0005-0000-0000-0000D0060000}"/>
    <cellStyle name="Explanatory Text 5 2 3" xfId="1746" xr:uid="{00000000-0005-0000-0000-0000D1060000}"/>
    <cellStyle name="Explanatory Text 5 2 4" xfId="1747" xr:uid="{00000000-0005-0000-0000-0000D2060000}"/>
    <cellStyle name="Explanatory Text 5 3" xfId="1748" xr:uid="{00000000-0005-0000-0000-0000D3060000}"/>
    <cellStyle name="Explanatory Text 5 3 2" xfId="1749" xr:uid="{00000000-0005-0000-0000-0000D4060000}"/>
    <cellStyle name="Explanatory Text 5 3 3" xfId="1750" xr:uid="{00000000-0005-0000-0000-0000D5060000}"/>
    <cellStyle name="Explanatory Text 5 4" xfId="1751" xr:uid="{00000000-0005-0000-0000-0000D6060000}"/>
    <cellStyle name="Explanatory Text 5 4 2" xfId="1752" xr:uid="{00000000-0005-0000-0000-0000D7060000}"/>
    <cellStyle name="Explanatory Text 5 4 2 2" xfId="1753" xr:uid="{00000000-0005-0000-0000-0000D8060000}"/>
    <cellStyle name="Explanatory Text 5 4 3" xfId="1754" xr:uid="{00000000-0005-0000-0000-0000D9060000}"/>
    <cellStyle name="Explanatory Text 5 4 3 2" xfId="1755" xr:uid="{00000000-0005-0000-0000-0000DA060000}"/>
    <cellStyle name="Explanatory Text 6" xfId="1756" xr:uid="{00000000-0005-0000-0000-0000DB060000}"/>
    <cellStyle name="Explanatory Text 6 2" xfId="1757" xr:uid="{00000000-0005-0000-0000-0000DC060000}"/>
    <cellStyle name="Explanatory Text 6 3" xfId="1758" xr:uid="{00000000-0005-0000-0000-0000DD060000}"/>
    <cellStyle name="Explanatory Text 7" xfId="1759" xr:uid="{00000000-0005-0000-0000-0000DE060000}"/>
    <cellStyle name="Explanatory Text 7 2" xfId="1760" xr:uid="{00000000-0005-0000-0000-0000DF060000}"/>
    <cellStyle name="Explanatory Text 8" xfId="1761" xr:uid="{00000000-0005-0000-0000-0000E0060000}"/>
    <cellStyle name="Explanatory Text 9" xfId="1762" xr:uid="{00000000-0005-0000-0000-0000E1060000}"/>
    <cellStyle name="Explanatory Text 9 2" xfId="1763" xr:uid="{00000000-0005-0000-0000-0000E2060000}"/>
    <cellStyle name="Explanatory Text 9 2 2" xfId="1764" xr:uid="{00000000-0005-0000-0000-0000E3060000}"/>
    <cellStyle name="Explanatory Text 9 3" xfId="1765" xr:uid="{00000000-0005-0000-0000-0000E4060000}"/>
    <cellStyle name="Explanatory Text 9 3 2" xfId="1766" xr:uid="{00000000-0005-0000-0000-0000E5060000}"/>
    <cellStyle name="Good" xfId="1767" builtinId="26" customBuiltin="1"/>
    <cellStyle name="Good 10" xfId="1768" xr:uid="{00000000-0005-0000-0000-0000E7060000}"/>
    <cellStyle name="Good 10 2" xfId="1769" xr:uid="{00000000-0005-0000-0000-0000E8060000}"/>
    <cellStyle name="Good 10 3" xfId="1770" xr:uid="{00000000-0005-0000-0000-0000E9060000}"/>
    <cellStyle name="Good 11" xfId="1771" xr:uid="{00000000-0005-0000-0000-0000EA060000}"/>
    <cellStyle name="Good 12" xfId="1772" xr:uid="{00000000-0005-0000-0000-0000EB060000}"/>
    <cellStyle name="Good 13" xfId="1773" xr:uid="{00000000-0005-0000-0000-0000EC060000}"/>
    <cellStyle name="Good 14" xfId="1774" xr:uid="{00000000-0005-0000-0000-0000ED060000}"/>
    <cellStyle name="Good 2" xfId="1775" xr:uid="{00000000-0005-0000-0000-0000EE060000}"/>
    <cellStyle name="Good 2 2" xfId="1776" xr:uid="{00000000-0005-0000-0000-0000EF060000}"/>
    <cellStyle name="Good 2 2 2" xfId="1777" xr:uid="{00000000-0005-0000-0000-0000F0060000}"/>
    <cellStyle name="Good 2 2 3" xfId="1778" xr:uid="{00000000-0005-0000-0000-0000F1060000}"/>
    <cellStyle name="Good 2 2 4" xfId="1779" xr:uid="{00000000-0005-0000-0000-0000F2060000}"/>
    <cellStyle name="Good 2 2 5" xfId="1780" xr:uid="{00000000-0005-0000-0000-0000F3060000}"/>
    <cellStyle name="Good 2 3" xfId="1781" xr:uid="{00000000-0005-0000-0000-0000F4060000}"/>
    <cellStyle name="Good 2 3 2" xfId="1782" xr:uid="{00000000-0005-0000-0000-0000F5060000}"/>
    <cellStyle name="Good 2 3 3" xfId="1783" xr:uid="{00000000-0005-0000-0000-0000F6060000}"/>
    <cellStyle name="Good 2 4" xfId="1784" xr:uid="{00000000-0005-0000-0000-0000F7060000}"/>
    <cellStyle name="Good 2 5" xfId="1785" xr:uid="{00000000-0005-0000-0000-0000F8060000}"/>
    <cellStyle name="Good 3" xfId="1786" xr:uid="{00000000-0005-0000-0000-0000F9060000}"/>
    <cellStyle name="Good 3 2" xfId="1787" xr:uid="{00000000-0005-0000-0000-0000FA060000}"/>
    <cellStyle name="Good 3 3" xfId="1788" xr:uid="{00000000-0005-0000-0000-0000FB060000}"/>
    <cellStyle name="Good 3 4" xfId="1789" xr:uid="{00000000-0005-0000-0000-0000FC060000}"/>
    <cellStyle name="Good 4" xfId="1790" xr:uid="{00000000-0005-0000-0000-0000FD060000}"/>
    <cellStyle name="Good 4 2" xfId="1791" xr:uid="{00000000-0005-0000-0000-0000FE060000}"/>
    <cellStyle name="Good 4 3" xfId="1792" xr:uid="{00000000-0005-0000-0000-0000FF060000}"/>
    <cellStyle name="Good 4 4" xfId="1793" xr:uid="{00000000-0005-0000-0000-000000070000}"/>
    <cellStyle name="Good 5" xfId="1794" xr:uid="{00000000-0005-0000-0000-000001070000}"/>
    <cellStyle name="Good 5 2" xfId="1795" xr:uid="{00000000-0005-0000-0000-000002070000}"/>
    <cellStyle name="Good 5 2 2" xfId="1796" xr:uid="{00000000-0005-0000-0000-000003070000}"/>
    <cellStyle name="Good 5 2 3" xfId="1797" xr:uid="{00000000-0005-0000-0000-000004070000}"/>
    <cellStyle name="Good 5 2 4" xfId="1798" xr:uid="{00000000-0005-0000-0000-000005070000}"/>
    <cellStyle name="Good 5 3" xfId="1799" xr:uid="{00000000-0005-0000-0000-000006070000}"/>
    <cellStyle name="Good 5 3 2" xfId="1800" xr:uid="{00000000-0005-0000-0000-000007070000}"/>
    <cellStyle name="Good 5 3 3" xfId="1801" xr:uid="{00000000-0005-0000-0000-000008070000}"/>
    <cellStyle name="Good 5 4" xfId="1802" xr:uid="{00000000-0005-0000-0000-000009070000}"/>
    <cellStyle name="Good 5 4 2" xfId="1803" xr:uid="{00000000-0005-0000-0000-00000A070000}"/>
    <cellStyle name="Good 5 4 2 2" xfId="1804" xr:uid="{00000000-0005-0000-0000-00000B070000}"/>
    <cellStyle name="Good 5 4 3" xfId="1805" xr:uid="{00000000-0005-0000-0000-00000C070000}"/>
    <cellStyle name="Good 5 4 3 2" xfId="1806" xr:uid="{00000000-0005-0000-0000-00000D070000}"/>
    <cellStyle name="Good 6" xfId="1807" xr:uid="{00000000-0005-0000-0000-00000E070000}"/>
    <cellStyle name="Good 6 2" xfId="1808" xr:uid="{00000000-0005-0000-0000-00000F070000}"/>
    <cellStyle name="Good 6 3" xfId="1809" xr:uid="{00000000-0005-0000-0000-000010070000}"/>
    <cellStyle name="Good 7" xfId="1810" xr:uid="{00000000-0005-0000-0000-000011070000}"/>
    <cellStyle name="Good 7 2" xfId="1811" xr:uid="{00000000-0005-0000-0000-000012070000}"/>
    <cellStyle name="Good 8" xfId="1812" xr:uid="{00000000-0005-0000-0000-000013070000}"/>
    <cellStyle name="Good 9" xfId="1813" xr:uid="{00000000-0005-0000-0000-000014070000}"/>
    <cellStyle name="Good 9 2" xfId="1814" xr:uid="{00000000-0005-0000-0000-000015070000}"/>
    <cellStyle name="Good 9 2 2" xfId="1815" xr:uid="{00000000-0005-0000-0000-000016070000}"/>
    <cellStyle name="Good 9 3" xfId="1816" xr:uid="{00000000-0005-0000-0000-000017070000}"/>
    <cellStyle name="Good 9 3 2" xfId="1817" xr:uid="{00000000-0005-0000-0000-000018070000}"/>
    <cellStyle name="Heading 1" xfId="1818" builtinId="16" customBuiltin="1"/>
    <cellStyle name="Heading 1 10" xfId="1819" xr:uid="{00000000-0005-0000-0000-00001A070000}"/>
    <cellStyle name="Heading 1 10 2" xfId="1820" xr:uid="{00000000-0005-0000-0000-00001B070000}"/>
    <cellStyle name="Heading 1 10 3" xfId="1821" xr:uid="{00000000-0005-0000-0000-00001C070000}"/>
    <cellStyle name="Heading 1 11" xfId="1822" xr:uid="{00000000-0005-0000-0000-00001D070000}"/>
    <cellStyle name="Heading 1 12" xfId="1823" xr:uid="{00000000-0005-0000-0000-00001E070000}"/>
    <cellStyle name="Heading 1 13" xfId="1824" xr:uid="{00000000-0005-0000-0000-00001F070000}"/>
    <cellStyle name="Heading 1 14" xfId="1825" xr:uid="{00000000-0005-0000-0000-000020070000}"/>
    <cellStyle name="Heading 1 2" xfId="1826" xr:uid="{00000000-0005-0000-0000-000021070000}"/>
    <cellStyle name="Heading 1 2 2" xfId="1827" xr:uid="{00000000-0005-0000-0000-000022070000}"/>
    <cellStyle name="Heading 1 2 2 2" xfId="1828" xr:uid="{00000000-0005-0000-0000-000023070000}"/>
    <cellStyle name="Heading 1 2 2 3" xfId="1829" xr:uid="{00000000-0005-0000-0000-000024070000}"/>
    <cellStyle name="Heading 1 2 2 4" xfId="1830" xr:uid="{00000000-0005-0000-0000-000025070000}"/>
    <cellStyle name="Heading 1 2 2 5" xfId="1831" xr:uid="{00000000-0005-0000-0000-000026070000}"/>
    <cellStyle name="Heading 1 2 3" xfId="1832" xr:uid="{00000000-0005-0000-0000-000027070000}"/>
    <cellStyle name="Heading 1 2 3 2" xfId="1833" xr:uid="{00000000-0005-0000-0000-000028070000}"/>
    <cellStyle name="Heading 1 2 3 3" xfId="1834" xr:uid="{00000000-0005-0000-0000-000029070000}"/>
    <cellStyle name="Heading 1 2 4" xfId="1835" xr:uid="{00000000-0005-0000-0000-00002A070000}"/>
    <cellStyle name="Heading 1 2 5" xfId="1836" xr:uid="{00000000-0005-0000-0000-00002B070000}"/>
    <cellStyle name="Heading 1 3" xfId="1837" xr:uid="{00000000-0005-0000-0000-00002C070000}"/>
    <cellStyle name="Heading 1 3 2" xfId="1838" xr:uid="{00000000-0005-0000-0000-00002D070000}"/>
    <cellStyle name="Heading 1 3 3" xfId="1839" xr:uid="{00000000-0005-0000-0000-00002E070000}"/>
    <cellStyle name="Heading 1 3 4" xfId="1840" xr:uid="{00000000-0005-0000-0000-00002F070000}"/>
    <cellStyle name="Heading 1 4" xfId="1841" xr:uid="{00000000-0005-0000-0000-000030070000}"/>
    <cellStyle name="Heading 1 4 2" xfId="1842" xr:uid="{00000000-0005-0000-0000-000031070000}"/>
    <cellStyle name="Heading 1 4 3" xfId="1843" xr:uid="{00000000-0005-0000-0000-000032070000}"/>
    <cellStyle name="Heading 1 4 4" xfId="1844" xr:uid="{00000000-0005-0000-0000-000033070000}"/>
    <cellStyle name="Heading 1 5" xfId="1845" xr:uid="{00000000-0005-0000-0000-000034070000}"/>
    <cellStyle name="Heading 1 5 2" xfId="1846" xr:uid="{00000000-0005-0000-0000-000035070000}"/>
    <cellStyle name="Heading 1 5 2 2" xfId="1847" xr:uid="{00000000-0005-0000-0000-000036070000}"/>
    <cellStyle name="Heading 1 5 2 3" xfId="1848" xr:uid="{00000000-0005-0000-0000-000037070000}"/>
    <cellStyle name="Heading 1 5 2 4" xfId="1849" xr:uid="{00000000-0005-0000-0000-000038070000}"/>
    <cellStyle name="Heading 1 5 3" xfId="1850" xr:uid="{00000000-0005-0000-0000-000039070000}"/>
    <cellStyle name="Heading 1 5 3 2" xfId="1851" xr:uid="{00000000-0005-0000-0000-00003A070000}"/>
    <cellStyle name="Heading 1 5 3 3" xfId="1852" xr:uid="{00000000-0005-0000-0000-00003B070000}"/>
    <cellStyle name="Heading 1 5 4" xfId="1853" xr:uid="{00000000-0005-0000-0000-00003C070000}"/>
    <cellStyle name="Heading 1 5 4 2" xfId="1854" xr:uid="{00000000-0005-0000-0000-00003D070000}"/>
    <cellStyle name="Heading 1 5 4 2 2" xfId="1855" xr:uid="{00000000-0005-0000-0000-00003E070000}"/>
    <cellStyle name="Heading 1 5 4 3" xfId="1856" xr:uid="{00000000-0005-0000-0000-00003F070000}"/>
    <cellStyle name="Heading 1 5 4 3 2" xfId="1857" xr:uid="{00000000-0005-0000-0000-000040070000}"/>
    <cellStyle name="Heading 1 6" xfId="1858" xr:uid="{00000000-0005-0000-0000-000041070000}"/>
    <cellStyle name="Heading 1 6 2" xfId="1859" xr:uid="{00000000-0005-0000-0000-000042070000}"/>
    <cellStyle name="Heading 1 6 3" xfId="1860" xr:uid="{00000000-0005-0000-0000-000043070000}"/>
    <cellStyle name="Heading 1 7" xfId="1861" xr:uid="{00000000-0005-0000-0000-000044070000}"/>
    <cellStyle name="Heading 1 7 2" xfId="1862" xr:uid="{00000000-0005-0000-0000-000045070000}"/>
    <cellStyle name="Heading 1 8" xfId="1863" xr:uid="{00000000-0005-0000-0000-000046070000}"/>
    <cellStyle name="Heading 1 9" xfId="1864" xr:uid="{00000000-0005-0000-0000-000047070000}"/>
    <cellStyle name="Heading 1 9 2" xfId="1865" xr:uid="{00000000-0005-0000-0000-000048070000}"/>
    <cellStyle name="Heading 1 9 2 2" xfId="1866" xr:uid="{00000000-0005-0000-0000-000049070000}"/>
    <cellStyle name="Heading 1 9 3" xfId="1867" xr:uid="{00000000-0005-0000-0000-00004A070000}"/>
    <cellStyle name="Heading 1 9 3 2" xfId="1868" xr:uid="{00000000-0005-0000-0000-00004B070000}"/>
    <cellStyle name="Heading 2" xfId="1869" builtinId="17" customBuiltin="1"/>
    <cellStyle name="Heading 2 10" xfId="1870" xr:uid="{00000000-0005-0000-0000-00004D070000}"/>
    <cellStyle name="Heading 2 10 2" xfId="1871" xr:uid="{00000000-0005-0000-0000-00004E070000}"/>
    <cellStyle name="Heading 2 10 3" xfId="1872" xr:uid="{00000000-0005-0000-0000-00004F070000}"/>
    <cellStyle name="Heading 2 11" xfId="1873" xr:uid="{00000000-0005-0000-0000-000050070000}"/>
    <cellStyle name="Heading 2 12" xfId="1874" xr:uid="{00000000-0005-0000-0000-000051070000}"/>
    <cellStyle name="Heading 2 13" xfId="1875" xr:uid="{00000000-0005-0000-0000-000052070000}"/>
    <cellStyle name="Heading 2 14" xfId="1876" xr:uid="{00000000-0005-0000-0000-000053070000}"/>
    <cellStyle name="Heading 2 2" xfId="1877" xr:uid="{00000000-0005-0000-0000-000054070000}"/>
    <cellStyle name="Heading 2 2 2" xfId="1878" xr:uid="{00000000-0005-0000-0000-000055070000}"/>
    <cellStyle name="Heading 2 2 2 2" xfId="1879" xr:uid="{00000000-0005-0000-0000-000056070000}"/>
    <cellStyle name="Heading 2 2 2 3" xfId="1880" xr:uid="{00000000-0005-0000-0000-000057070000}"/>
    <cellStyle name="Heading 2 2 2 4" xfId="1881" xr:uid="{00000000-0005-0000-0000-000058070000}"/>
    <cellStyle name="Heading 2 2 2 5" xfId="1882" xr:uid="{00000000-0005-0000-0000-000059070000}"/>
    <cellStyle name="Heading 2 2 3" xfId="1883" xr:uid="{00000000-0005-0000-0000-00005A070000}"/>
    <cellStyle name="Heading 2 2 3 2" xfId="1884" xr:uid="{00000000-0005-0000-0000-00005B070000}"/>
    <cellStyle name="Heading 2 2 3 3" xfId="1885" xr:uid="{00000000-0005-0000-0000-00005C070000}"/>
    <cellStyle name="Heading 2 2 4" xfId="1886" xr:uid="{00000000-0005-0000-0000-00005D070000}"/>
    <cellStyle name="Heading 2 2 5" xfId="1887" xr:uid="{00000000-0005-0000-0000-00005E070000}"/>
    <cellStyle name="Heading 2 3" xfId="1888" xr:uid="{00000000-0005-0000-0000-00005F070000}"/>
    <cellStyle name="Heading 2 3 2" xfId="1889" xr:uid="{00000000-0005-0000-0000-000060070000}"/>
    <cellStyle name="Heading 2 3 3" xfId="1890" xr:uid="{00000000-0005-0000-0000-000061070000}"/>
    <cellStyle name="Heading 2 3 4" xfId="1891" xr:uid="{00000000-0005-0000-0000-000062070000}"/>
    <cellStyle name="Heading 2 4" xfId="1892" xr:uid="{00000000-0005-0000-0000-000063070000}"/>
    <cellStyle name="Heading 2 4 2" xfId="1893" xr:uid="{00000000-0005-0000-0000-000064070000}"/>
    <cellStyle name="Heading 2 4 3" xfId="1894" xr:uid="{00000000-0005-0000-0000-000065070000}"/>
    <cellStyle name="Heading 2 4 4" xfId="1895" xr:uid="{00000000-0005-0000-0000-000066070000}"/>
    <cellStyle name="Heading 2 5" xfId="1896" xr:uid="{00000000-0005-0000-0000-000067070000}"/>
    <cellStyle name="Heading 2 5 2" xfId="1897" xr:uid="{00000000-0005-0000-0000-000068070000}"/>
    <cellStyle name="Heading 2 5 2 2" xfId="1898" xr:uid="{00000000-0005-0000-0000-000069070000}"/>
    <cellStyle name="Heading 2 5 2 3" xfId="1899" xr:uid="{00000000-0005-0000-0000-00006A070000}"/>
    <cellStyle name="Heading 2 5 2 4" xfId="1900" xr:uid="{00000000-0005-0000-0000-00006B070000}"/>
    <cellStyle name="Heading 2 5 3" xfId="1901" xr:uid="{00000000-0005-0000-0000-00006C070000}"/>
    <cellStyle name="Heading 2 5 3 2" xfId="1902" xr:uid="{00000000-0005-0000-0000-00006D070000}"/>
    <cellStyle name="Heading 2 5 3 3" xfId="1903" xr:uid="{00000000-0005-0000-0000-00006E070000}"/>
    <cellStyle name="Heading 2 5 4" xfId="1904" xr:uid="{00000000-0005-0000-0000-00006F070000}"/>
    <cellStyle name="Heading 2 5 4 2" xfId="1905" xr:uid="{00000000-0005-0000-0000-000070070000}"/>
    <cellStyle name="Heading 2 5 4 2 2" xfId="1906" xr:uid="{00000000-0005-0000-0000-000071070000}"/>
    <cellStyle name="Heading 2 5 4 3" xfId="1907" xr:uid="{00000000-0005-0000-0000-000072070000}"/>
    <cellStyle name="Heading 2 5 4 3 2" xfId="1908" xr:uid="{00000000-0005-0000-0000-000073070000}"/>
    <cellStyle name="Heading 2 6" xfId="1909" xr:uid="{00000000-0005-0000-0000-000074070000}"/>
    <cellStyle name="Heading 2 6 2" xfId="1910" xr:uid="{00000000-0005-0000-0000-000075070000}"/>
    <cellStyle name="Heading 2 6 3" xfId="1911" xr:uid="{00000000-0005-0000-0000-000076070000}"/>
    <cellStyle name="Heading 2 7" xfId="1912" xr:uid="{00000000-0005-0000-0000-000077070000}"/>
    <cellStyle name="Heading 2 7 2" xfId="1913" xr:uid="{00000000-0005-0000-0000-000078070000}"/>
    <cellStyle name="Heading 2 8" xfId="1914" xr:uid="{00000000-0005-0000-0000-000079070000}"/>
    <cellStyle name="Heading 2 9" xfId="1915" xr:uid="{00000000-0005-0000-0000-00007A070000}"/>
    <cellStyle name="Heading 2 9 2" xfId="1916" xr:uid="{00000000-0005-0000-0000-00007B070000}"/>
    <cellStyle name="Heading 2 9 2 2" xfId="1917" xr:uid="{00000000-0005-0000-0000-00007C070000}"/>
    <cellStyle name="Heading 2 9 3" xfId="1918" xr:uid="{00000000-0005-0000-0000-00007D070000}"/>
    <cellStyle name="Heading 2 9 3 2" xfId="1919" xr:uid="{00000000-0005-0000-0000-00007E070000}"/>
    <cellStyle name="Heading 3" xfId="1920" builtinId="18" customBuiltin="1"/>
    <cellStyle name="Heading 3 10" xfId="1921" xr:uid="{00000000-0005-0000-0000-000080070000}"/>
    <cellStyle name="Heading 3 10 2" xfId="1922" xr:uid="{00000000-0005-0000-0000-000081070000}"/>
    <cellStyle name="Heading 3 10 3" xfId="1923" xr:uid="{00000000-0005-0000-0000-000082070000}"/>
    <cellStyle name="Heading 3 11" xfId="1924" xr:uid="{00000000-0005-0000-0000-000083070000}"/>
    <cellStyle name="Heading 3 12" xfId="1925" xr:uid="{00000000-0005-0000-0000-000084070000}"/>
    <cellStyle name="Heading 3 13" xfId="1926" xr:uid="{00000000-0005-0000-0000-000085070000}"/>
    <cellStyle name="Heading 3 14" xfId="1927" xr:uid="{00000000-0005-0000-0000-000086070000}"/>
    <cellStyle name="Heading 3 2" xfId="1928" xr:uid="{00000000-0005-0000-0000-000087070000}"/>
    <cellStyle name="Heading 3 2 2" xfId="1929" xr:uid="{00000000-0005-0000-0000-000088070000}"/>
    <cellStyle name="Heading 3 2 2 2" xfId="1930" xr:uid="{00000000-0005-0000-0000-000089070000}"/>
    <cellStyle name="Heading 3 2 2 3" xfId="1931" xr:uid="{00000000-0005-0000-0000-00008A070000}"/>
    <cellStyle name="Heading 3 2 2 4" xfId="1932" xr:uid="{00000000-0005-0000-0000-00008B070000}"/>
    <cellStyle name="Heading 3 2 2 5" xfId="1933" xr:uid="{00000000-0005-0000-0000-00008C070000}"/>
    <cellStyle name="Heading 3 2 3" xfId="1934" xr:uid="{00000000-0005-0000-0000-00008D070000}"/>
    <cellStyle name="Heading 3 2 3 2" xfId="1935" xr:uid="{00000000-0005-0000-0000-00008E070000}"/>
    <cellStyle name="Heading 3 2 3 3" xfId="1936" xr:uid="{00000000-0005-0000-0000-00008F070000}"/>
    <cellStyle name="Heading 3 2 4" xfId="1937" xr:uid="{00000000-0005-0000-0000-000090070000}"/>
    <cellStyle name="Heading 3 2 5" xfId="1938" xr:uid="{00000000-0005-0000-0000-000091070000}"/>
    <cellStyle name="Heading 3 3" xfId="1939" xr:uid="{00000000-0005-0000-0000-000092070000}"/>
    <cellStyle name="Heading 3 3 2" xfId="1940" xr:uid="{00000000-0005-0000-0000-000093070000}"/>
    <cellStyle name="Heading 3 3 3" xfId="1941" xr:uid="{00000000-0005-0000-0000-000094070000}"/>
    <cellStyle name="Heading 3 3 4" xfId="1942" xr:uid="{00000000-0005-0000-0000-000095070000}"/>
    <cellStyle name="Heading 3 4" xfId="1943" xr:uid="{00000000-0005-0000-0000-000096070000}"/>
    <cellStyle name="Heading 3 4 2" xfId="1944" xr:uid="{00000000-0005-0000-0000-000097070000}"/>
    <cellStyle name="Heading 3 4 3" xfId="1945" xr:uid="{00000000-0005-0000-0000-000098070000}"/>
    <cellStyle name="Heading 3 4 4" xfId="1946" xr:uid="{00000000-0005-0000-0000-000099070000}"/>
    <cellStyle name="Heading 3 5" xfId="1947" xr:uid="{00000000-0005-0000-0000-00009A070000}"/>
    <cellStyle name="Heading 3 5 2" xfId="1948" xr:uid="{00000000-0005-0000-0000-00009B070000}"/>
    <cellStyle name="Heading 3 5 2 2" xfId="1949" xr:uid="{00000000-0005-0000-0000-00009C070000}"/>
    <cellStyle name="Heading 3 5 2 3" xfId="1950" xr:uid="{00000000-0005-0000-0000-00009D070000}"/>
    <cellStyle name="Heading 3 5 2 4" xfId="1951" xr:uid="{00000000-0005-0000-0000-00009E070000}"/>
    <cellStyle name="Heading 3 5 3" xfId="1952" xr:uid="{00000000-0005-0000-0000-00009F070000}"/>
    <cellStyle name="Heading 3 5 3 2" xfId="1953" xr:uid="{00000000-0005-0000-0000-0000A0070000}"/>
    <cellStyle name="Heading 3 5 3 3" xfId="1954" xr:uid="{00000000-0005-0000-0000-0000A1070000}"/>
    <cellStyle name="Heading 3 5 4" xfId="1955" xr:uid="{00000000-0005-0000-0000-0000A2070000}"/>
    <cellStyle name="Heading 3 5 4 2" xfId="1956" xr:uid="{00000000-0005-0000-0000-0000A3070000}"/>
    <cellStyle name="Heading 3 5 4 2 2" xfId="1957" xr:uid="{00000000-0005-0000-0000-0000A4070000}"/>
    <cellStyle name="Heading 3 5 4 3" xfId="1958" xr:uid="{00000000-0005-0000-0000-0000A5070000}"/>
    <cellStyle name="Heading 3 5 4 3 2" xfId="1959" xr:uid="{00000000-0005-0000-0000-0000A6070000}"/>
    <cellStyle name="Heading 3 6" xfId="1960" xr:uid="{00000000-0005-0000-0000-0000A7070000}"/>
    <cellStyle name="Heading 3 6 2" xfId="1961" xr:uid="{00000000-0005-0000-0000-0000A8070000}"/>
    <cellStyle name="Heading 3 6 3" xfId="1962" xr:uid="{00000000-0005-0000-0000-0000A9070000}"/>
    <cellStyle name="Heading 3 7" xfId="1963" xr:uid="{00000000-0005-0000-0000-0000AA070000}"/>
    <cellStyle name="Heading 3 7 2" xfId="1964" xr:uid="{00000000-0005-0000-0000-0000AB070000}"/>
    <cellStyle name="Heading 3 8" xfId="1965" xr:uid="{00000000-0005-0000-0000-0000AC070000}"/>
    <cellStyle name="Heading 3 9" xfId="1966" xr:uid="{00000000-0005-0000-0000-0000AD070000}"/>
    <cellStyle name="Heading 3 9 2" xfId="1967" xr:uid="{00000000-0005-0000-0000-0000AE070000}"/>
    <cellStyle name="Heading 3 9 2 2" xfId="1968" xr:uid="{00000000-0005-0000-0000-0000AF070000}"/>
    <cellStyle name="Heading 3 9 3" xfId="1969" xr:uid="{00000000-0005-0000-0000-0000B0070000}"/>
    <cellStyle name="Heading 3 9 3 2" xfId="1970" xr:uid="{00000000-0005-0000-0000-0000B1070000}"/>
    <cellStyle name="Heading 4" xfId="1971" builtinId="19" customBuiltin="1"/>
    <cellStyle name="Heading 4 10" xfId="1972" xr:uid="{00000000-0005-0000-0000-0000B3070000}"/>
    <cellStyle name="Heading 4 10 2" xfId="1973" xr:uid="{00000000-0005-0000-0000-0000B4070000}"/>
    <cellStyle name="Heading 4 10 3" xfId="1974" xr:uid="{00000000-0005-0000-0000-0000B5070000}"/>
    <cellStyle name="Heading 4 11" xfId="1975" xr:uid="{00000000-0005-0000-0000-0000B6070000}"/>
    <cellStyle name="Heading 4 12" xfId="1976" xr:uid="{00000000-0005-0000-0000-0000B7070000}"/>
    <cellStyle name="Heading 4 13" xfId="1977" xr:uid="{00000000-0005-0000-0000-0000B8070000}"/>
    <cellStyle name="Heading 4 14" xfId="1978" xr:uid="{00000000-0005-0000-0000-0000B9070000}"/>
    <cellStyle name="Heading 4 2" xfId="1979" xr:uid="{00000000-0005-0000-0000-0000BA070000}"/>
    <cellStyle name="Heading 4 2 2" xfId="1980" xr:uid="{00000000-0005-0000-0000-0000BB070000}"/>
    <cellStyle name="Heading 4 2 2 2" xfId="1981" xr:uid="{00000000-0005-0000-0000-0000BC070000}"/>
    <cellStyle name="Heading 4 2 2 3" xfId="1982" xr:uid="{00000000-0005-0000-0000-0000BD070000}"/>
    <cellStyle name="Heading 4 2 2 4" xfId="1983" xr:uid="{00000000-0005-0000-0000-0000BE070000}"/>
    <cellStyle name="Heading 4 2 2 5" xfId="1984" xr:uid="{00000000-0005-0000-0000-0000BF070000}"/>
    <cellStyle name="Heading 4 2 3" xfId="1985" xr:uid="{00000000-0005-0000-0000-0000C0070000}"/>
    <cellStyle name="Heading 4 2 3 2" xfId="1986" xr:uid="{00000000-0005-0000-0000-0000C1070000}"/>
    <cellStyle name="Heading 4 2 3 3" xfId="1987" xr:uid="{00000000-0005-0000-0000-0000C2070000}"/>
    <cellStyle name="Heading 4 2 4" xfId="1988" xr:uid="{00000000-0005-0000-0000-0000C3070000}"/>
    <cellStyle name="Heading 4 2 5" xfId="1989" xr:uid="{00000000-0005-0000-0000-0000C4070000}"/>
    <cellStyle name="Heading 4 3" xfId="1990" xr:uid="{00000000-0005-0000-0000-0000C5070000}"/>
    <cellStyle name="Heading 4 3 2" xfId="1991" xr:uid="{00000000-0005-0000-0000-0000C6070000}"/>
    <cellStyle name="Heading 4 3 3" xfId="1992" xr:uid="{00000000-0005-0000-0000-0000C7070000}"/>
    <cellStyle name="Heading 4 3 4" xfId="1993" xr:uid="{00000000-0005-0000-0000-0000C8070000}"/>
    <cellStyle name="Heading 4 4" xfId="1994" xr:uid="{00000000-0005-0000-0000-0000C9070000}"/>
    <cellStyle name="Heading 4 4 2" xfId="1995" xr:uid="{00000000-0005-0000-0000-0000CA070000}"/>
    <cellStyle name="Heading 4 4 3" xfId="1996" xr:uid="{00000000-0005-0000-0000-0000CB070000}"/>
    <cellStyle name="Heading 4 4 4" xfId="1997" xr:uid="{00000000-0005-0000-0000-0000CC070000}"/>
    <cellStyle name="Heading 4 5" xfId="1998" xr:uid="{00000000-0005-0000-0000-0000CD070000}"/>
    <cellStyle name="Heading 4 5 2" xfId="1999" xr:uid="{00000000-0005-0000-0000-0000CE070000}"/>
    <cellStyle name="Heading 4 5 2 2" xfId="2000" xr:uid="{00000000-0005-0000-0000-0000CF070000}"/>
    <cellStyle name="Heading 4 5 2 3" xfId="2001" xr:uid="{00000000-0005-0000-0000-0000D0070000}"/>
    <cellStyle name="Heading 4 5 2 4" xfId="2002" xr:uid="{00000000-0005-0000-0000-0000D1070000}"/>
    <cellStyle name="Heading 4 5 3" xfId="2003" xr:uid="{00000000-0005-0000-0000-0000D2070000}"/>
    <cellStyle name="Heading 4 5 3 2" xfId="2004" xr:uid="{00000000-0005-0000-0000-0000D3070000}"/>
    <cellStyle name="Heading 4 5 3 3" xfId="2005" xr:uid="{00000000-0005-0000-0000-0000D4070000}"/>
    <cellStyle name="Heading 4 5 4" xfId="2006" xr:uid="{00000000-0005-0000-0000-0000D5070000}"/>
    <cellStyle name="Heading 4 5 4 2" xfId="2007" xr:uid="{00000000-0005-0000-0000-0000D6070000}"/>
    <cellStyle name="Heading 4 5 4 2 2" xfId="2008" xr:uid="{00000000-0005-0000-0000-0000D7070000}"/>
    <cellStyle name="Heading 4 5 4 3" xfId="2009" xr:uid="{00000000-0005-0000-0000-0000D8070000}"/>
    <cellStyle name="Heading 4 5 4 3 2" xfId="2010" xr:uid="{00000000-0005-0000-0000-0000D9070000}"/>
    <cellStyle name="Heading 4 6" xfId="2011" xr:uid="{00000000-0005-0000-0000-0000DA070000}"/>
    <cellStyle name="Heading 4 6 2" xfId="2012" xr:uid="{00000000-0005-0000-0000-0000DB070000}"/>
    <cellStyle name="Heading 4 6 3" xfId="2013" xr:uid="{00000000-0005-0000-0000-0000DC070000}"/>
    <cellStyle name="Heading 4 7" xfId="2014" xr:uid="{00000000-0005-0000-0000-0000DD070000}"/>
    <cellStyle name="Heading 4 7 2" xfId="2015" xr:uid="{00000000-0005-0000-0000-0000DE070000}"/>
    <cellStyle name="Heading 4 8" xfId="2016" xr:uid="{00000000-0005-0000-0000-0000DF070000}"/>
    <cellStyle name="Heading 4 9" xfId="2017" xr:uid="{00000000-0005-0000-0000-0000E0070000}"/>
    <cellStyle name="Heading 4 9 2" xfId="2018" xr:uid="{00000000-0005-0000-0000-0000E1070000}"/>
    <cellStyle name="Heading 4 9 2 2" xfId="2019" xr:uid="{00000000-0005-0000-0000-0000E2070000}"/>
    <cellStyle name="Heading 4 9 3" xfId="2020" xr:uid="{00000000-0005-0000-0000-0000E3070000}"/>
    <cellStyle name="Heading 4 9 3 2" xfId="2021" xr:uid="{00000000-0005-0000-0000-0000E4070000}"/>
    <cellStyle name="Hyperlink" xfId="2022" builtinId="8"/>
    <cellStyle name="Hyperlink 2" xfId="2023" xr:uid="{00000000-0005-0000-0000-0000E6070000}"/>
    <cellStyle name="Hyperlink 3" xfId="2024" xr:uid="{00000000-0005-0000-0000-0000E7070000}"/>
    <cellStyle name="Input" xfId="2025" builtinId="20" customBuiltin="1"/>
    <cellStyle name="Input 10" xfId="2026" xr:uid="{00000000-0005-0000-0000-0000E9070000}"/>
    <cellStyle name="Input 10 2" xfId="2027" xr:uid="{00000000-0005-0000-0000-0000EA070000}"/>
    <cellStyle name="Input 10 3" xfId="2028" xr:uid="{00000000-0005-0000-0000-0000EB070000}"/>
    <cellStyle name="Input 11" xfId="2029" xr:uid="{00000000-0005-0000-0000-0000EC070000}"/>
    <cellStyle name="Input 12" xfId="2030" xr:uid="{00000000-0005-0000-0000-0000ED070000}"/>
    <cellStyle name="Input 13" xfId="2031" xr:uid="{00000000-0005-0000-0000-0000EE070000}"/>
    <cellStyle name="Input 14" xfId="2032" xr:uid="{00000000-0005-0000-0000-0000EF070000}"/>
    <cellStyle name="Input 2" xfId="2033" xr:uid="{00000000-0005-0000-0000-0000F0070000}"/>
    <cellStyle name="Input 2 2" xfId="2034" xr:uid="{00000000-0005-0000-0000-0000F1070000}"/>
    <cellStyle name="Input 2 2 2" xfId="2035" xr:uid="{00000000-0005-0000-0000-0000F2070000}"/>
    <cellStyle name="Input 2 2 3" xfId="2036" xr:uid="{00000000-0005-0000-0000-0000F3070000}"/>
    <cellStyle name="Input 2 2 4" xfId="2037" xr:uid="{00000000-0005-0000-0000-0000F4070000}"/>
    <cellStyle name="Input 2 2 5" xfId="2038" xr:uid="{00000000-0005-0000-0000-0000F5070000}"/>
    <cellStyle name="Input 2 3" xfId="2039" xr:uid="{00000000-0005-0000-0000-0000F6070000}"/>
    <cellStyle name="Input 2 3 2" xfId="2040" xr:uid="{00000000-0005-0000-0000-0000F7070000}"/>
    <cellStyle name="Input 2 3 3" xfId="2041" xr:uid="{00000000-0005-0000-0000-0000F8070000}"/>
    <cellStyle name="Input 2 4" xfId="2042" xr:uid="{00000000-0005-0000-0000-0000F9070000}"/>
    <cellStyle name="Input 2 5" xfId="2043" xr:uid="{00000000-0005-0000-0000-0000FA070000}"/>
    <cellStyle name="Input 3" xfId="2044" xr:uid="{00000000-0005-0000-0000-0000FB070000}"/>
    <cellStyle name="Input 3 2" xfId="2045" xr:uid="{00000000-0005-0000-0000-0000FC070000}"/>
    <cellStyle name="Input 3 3" xfId="2046" xr:uid="{00000000-0005-0000-0000-0000FD070000}"/>
    <cellStyle name="Input 3 4" xfId="2047" xr:uid="{00000000-0005-0000-0000-0000FE070000}"/>
    <cellStyle name="Input 4" xfId="2048" xr:uid="{00000000-0005-0000-0000-0000FF070000}"/>
    <cellStyle name="Input 4 2" xfId="2049" xr:uid="{00000000-0005-0000-0000-000000080000}"/>
    <cellStyle name="Input 4 3" xfId="2050" xr:uid="{00000000-0005-0000-0000-000001080000}"/>
    <cellStyle name="Input 4 4" xfId="2051" xr:uid="{00000000-0005-0000-0000-000002080000}"/>
    <cellStyle name="Input 5" xfId="2052" xr:uid="{00000000-0005-0000-0000-000003080000}"/>
    <cellStyle name="Input 5 2" xfId="2053" xr:uid="{00000000-0005-0000-0000-000004080000}"/>
    <cellStyle name="Input 5 2 2" xfId="2054" xr:uid="{00000000-0005-0000-0000-000005080000}"/>
    <cellStyle name="Input 5 2 3" xfId="2055" xr:uid="{00000000-0005-0000-0000-000006080000}"/>
    <cellStyle name="Input 5 2 4" xfId="2056" xr:uid="{00000000-0005-0000-0000-000007080000}"/>
    <cellStyle name="Input 5 3" xfId="2057" xr:uid="{00000000-0005-0000-0000-000008080000}"/>
    <cellStyle name="Input 5 3 2" xfId="2058" xr:uid="{00000000-0005-0000-0000-000009080000}"/>
    <cellStyle name="Input 5 3 3" xfId="2059" xr:uid="{00000000-0005-0000-0000-00000A080000}"/>
    <cellStyle name="Input 5 4" xfId="2060" xr:uid="{00000000-0005-0000-0000-00000B080000}"/>
    <cellStyle name="Input 5 4 2" xfId="2061" xr:uid="{00000000-0005-0000-0000-00000C080000}"/>
    <cellStyle name="Input 5 4 2 2" xfId="2062" xr:uid="{00000000-0005-0000-0000-00000D080000}"/>
    <cellStyle name="Input 5 4 3" xfId="2063" xr:uid="{00000000-0005-0000-0000-00000E080000}"/>
    <cellStyle name="Input 5 4 3 2" xfId="2064" xr:uid="{00000000-0005-0000-0000-00000F080000}"/>
    <cellStyle name="Input 6" xfId="2065" xr:uid="{00000000-0005-0000-0000-000010080000}"/>
    <cellStyle name="Input 6 2" xfId="2066" xr:uid="{00000000-0005-0000-0000-000011080000}"/>
    <cellStyle name="Input 6 3" xfId="2067" xr:uid="{00000000-0005-0000-0000-000012080000}"/>
    <cellStyle name="Input 7" xfId="2068" xr:uid="{00000000-0005-0000-0000-000013080000}"/>
    <cellStyle name="Input 7 2" xfId="2069" xr:uid="{00000000-0005-0000-0000-000014080000}"/>
    <cellStyle name="Input 8" xfId="2070" xr:uid="{00000000-0005-0000-0000-000015080000}"/>
    <cellStyle name="Input 9" xfId="2071" xr:uid="{00000000-0005-0000-0000-000016080000}"/>
    <cellStyle name="Input 9 2" xfId="2072" xr:uid="{00000000-0005-0000-0000-000017080000}"/>
    <cellStyle name="Input 9 2 2" xfId="2073" xr:uid="{00000000-0005-0000-0000-000018080000}"/>
    <cellStyle name="Input 9 3" xfId="2074" xr:uid="{00000000-0005-0000-0000-000019080000}"/>
    <cellStyle name="Input 9 3 2" xfId="2075" xr:uid="{00000000-0005-0000-0000-00001A080000}"/>
    <cellStyle name="Linked Cell" xfId="2076" builtinId="24" customBuiltin="1"/>
    <cellStyle name="Linked Cell 10" xfId="2077" xr:uid="{00000000-0005-0000-0000-00001C080000}"/>
    <cellStyle name="Linked Cell 10 2" xfId="2078" xr:uid="{00000000-0005-0000-0000-00001D080000}"/>
    <cellStyle name="Linked Cell 10 3" xfId="2079" xr:uid="{00000000-0005-0000-0000-00001E080000}"/>
    <cellStyle name="Linked Cell 11" xfId="2080" xr:uid="{00000000-0005-0000-0000-00001F080000}"/>
    <cellStyle name="Linked Cell 12" xfId="2081" xr:uid="{00000000-0005-0000-0000-000020080000}"/>
    <cellStyle name="Linked Cell 13" xfId="2082" xr:uid="{00000000-0005-0000-0000-000021080000}"/>
    <cellStyle name="Linked Cell 14" xfId="2083" xr:uid="{00000000-0005-0000-0000-000022080000}"/>
    <cellStyle name="Linked Cell 2" xfId="2084" xr:uid="{00000000-0005-0000-0000-000023080000}"/>
    <cellStyle name="Linked Cell 2 2" xfId="2085" xr:uid="{00000000-0005-0000-0000-000024080000}"/>
    <cellStyle name="Linked Cell 2 2 2" xfId="2086" xr:uid="{00000000-0005-0000-0000-000025080000}"/>
    <cellStyle name="Linked Cell 2 2 3" xfId="2087" xr:uid="{00000000-0005-0000-0000-000026080000}"/>
    <cellStyle name="Linked Cell 2 2 4" xfId="2088" xr:uid="{00000000-0005-0000-0000-000027080000}"/>
    <cellStyle name="Linked Cell 2 2 5" xfId="2089" xr:uid="{00000000-0005-0000-0000-000028080000}"/>
    <cellStyle name="Linked Cell 2 3" xfId="2090" xr:uid="{00000000-0005-0000-0000-000029080000}"/>
    <cellStyle name="Linked Cell 2 3 2" xfId="2091" xr:uid="{00000000-0005-0000-0000-00002A080000}"/>
    <cellStyle name="Linked Cell 2 3 3" xfId="2092" xr:uid="{00000000-0005-0000-0000-00002B080000}"/>
    <cellStyle name="Linked Cell 2 4" xfId="2093" xr:uid="{00000000-0005-0000-0000-00002C080000}"/>
    <cellStyle name="Linked Cell 2 5" xfId="2094" xr:uid="{00000000-0005-0000-0000-00002D080000}"/>
    <cellStyle name="Linked Cell 3" xfId="2095" xr:uid="{00000000-0005-0000-0000-00002E080000}"/>
    <cellStyle name="Linked Cell 3 2" xfId="2096" xr:uid="{00000000-0005-0000-0000-00002F080000}"/>
    <cellStyle name="Linked Cell 3 3" xfId="2097" xr:uid="{00000000-0005-0000-0000-000030080000}"/>
    <cellStyle name="Linked Cell 3 4" xfId="2098" xr:uid="{00000000-0005-0000-0000-000031080000}"/>
    <cellStyle name="Linked Cell 4" xfId="2099" xr:uid="{00000000-0005-0000-0000-000032080000}"/>
    <cellStyle name="Linked Cell 4 2" xfId="2100" xr:uid="{00000000-0005-0000-0000-000033080000}"/>
    <cellStyle name="Linked Cell 4 3" xfId="2101" xr:uid="{00000000-0005-0000-0000-000034080000}"/>
    <cellStyle name="Linked Cell 4 4" xfId="2102" xr:uid="{00000000-0005-0000-0000-000035080000}"/>
    <cellStyle name="Linked Cell 5" xfId="2103" xr:uid="{00000000-0005-0000-0000-000036080000}"/>
    <cellStyle name="Linked Cell 5 2" xfId="2104" xr:uid="{00000000-0005-0000-0000-000037080000}"/>
    <cellStyle name="Linked Cell 5 2 2" xfId="2105" xr:uid="{00000000-0005-0000-0000-000038080000}"/>
    <cellStyle name="Linked Cell 5 2 3" xfId="2106" xr:uid="{00000000-0005-0000-0000-000039080000}"/>
    <cellStyle name="Linked Cell 5 2 4" xfId="2107" xr:uid="{00000000-0005-0000-0000-00003A080000}"/>
    <cellStyle name="Linked Cell 5 3" xfId="2108" xr:uid="{00000000-0005-0000-0000-00003B080000}"/>
    <cellStyle name="Linked Cell 5 3 2" xfId="2109" xr:uid="{00000000-0005-0000-0000-00003C080000}"/>
    <cellStyle name="Linked Cell 5 3 3" xfId="2110" xr:uid="{00000000-0005-0000-0000-00003D080000}"/>
    <cellStyle name="Linked Cell 5 4" xfId="2111" xr:uid="{00000000-0005-0000-0000-00003E080000}"/>
    <cellStyle name="Linked Cell 5 4 2" xfId="2112" xr:uid="{00000000-0005-0000-0000-00003F080000}"/>
    <cellStyle name="Linked Cell 5 4 2 2" xfId="2113" xr:uid="{00000000-0005-0000-0000-000040080000}"/>
    <cellStyle name="Linked Cell 5 4 3" xfId="2114" xr:uid="{00000000-0005-0000-0000-000041080000}"/>
    <cellStyle name="Linked Cell 5 4 3 2" xfId="2115" xr:uid="{00000000-0005-0000-0000-000042080000}"/>
    <cellStyle name="Linked Cell 6" xfId="2116" xr:uid="{00000000-0005-0000-0000-000043080000}"/>
    <cellStyle name="Linked Cell 6 2" xfId="2117" xr:uid="{00000000-0005-0000-0000-000044080000}"/>
    <cellStyle name="Linked Cell 6 3" xfId="2118" xr:uid="{00000000-0005-0000-0000-000045080000}"/>
    <cellStyle name="Linked Cell 7" xfId="2119" xr:uid="{00000000-0005-0000-0000-000046080000}"/>
    <cellStyle name="Linked Cell 7 2" xfId="2120" xr:uid="{00000000-0005-0000-0000-000047080000}"/>
    <cellStyle name="Linked Cell 8" xfId="2121" xr:uid="{00000000-0005-0000-0000-000048080000}"/>
    <cellStyle name="Linked Cell 9" xfId="2122" xr:uid="{00000000-0005-0000-0000-000049080000}"/>
    <cellStyle name="Linked Cell 9 2" xfId="2123" xr:uid="{00000000-0005-0000-0000-00004A080000}"/>
    <cellStyle name="Linked Cell 9 2 2" xfId="2124" xr:uid="{00000000-0005-0000-0000-00004B080000}"/>
    <cellStyle name="Linked Cell 9 3" xfId="2125" xr:uid="{00000000-0005-0000-0000-00004C080000}"/>
    <cellStyle name="Linked Cell 9 3 2" xfId="2126" xr:uid="{00000000-0005-0000-0000-00004D080000}"/>
    <cellStyle name="Neutral" xfId="2127" builtinId="28" customBuiltin="1"/>
    <cellStyle name="Neutral 10" xfId="2128" xr:uid="{00000000-0005-0000-0000-00004F080000}"/>
    <cellStyle name="Neutral 10 2" xfId="2129" xr:uid="{00000000-0005-0000-0000-000050080000}"/>
    <cellStyle name="Neutral 10 3" xfId="2130" xr:uid="{00000000-0005-0000-0000-000051080000}"/>
    <cellStyle name="Neutral 11" xfId="2131" xr:uid="{00000000-0005-0000-0000-000052080000}"/>
    <cellStyle name="Neutral 12" xfId="2132" xr:uid="{00000000-0005-0000-0000-000053080000}"/>
    <cellStyle name="Neutral 13" xfId="2133" xr:uid="{00000000-0005-0000-0000-000054080000}"/>
    <cellStyle name="Neutral 14" xfId="2134" xr:uid="{00000000-0005-0000-0000-000055080000}"/>
    <cellStyle name="Neutral 2" xfId="2135" xr:uid="{00000000-0005-0000-0000-000056080000}"/>
    <cellStyle name="Neutral 2 2" xfId="2136" xr:uid="{00000000-0005-0000-0000-000057080000}"/>
    <cellStyle name="Neutral 2 2 2" xfId="2137" xr:uid="{00000000-0005-0000-0000-000058080000}"/>
    <cellStyle name="Neutral 2 2 3" xfId="2138" xr:uid="{00000000-0005-0000-0000-000059080000}"/>
    <cellStyle name="Neutral 2 2 4" xfId="2139" xr:uid="{00000000-0005-0000-0000-00005A080000}"/>
    <cellStyle name="Neutral 2 2 5" xfId="2140" xr:uid="{00000000-0005-0000-0000-00005B080000}"/>
    <cellStyle name="Neutral 2 3" xfId="2141" xr:uid="{00000000-0005-0000-0000-00005C080000}"/>
    <cellStyle name="Neutral 2 3 2" xfId="2142" xr:uid="{00000000-0005-0000-0000-00005D080000}"/>
    <cellStyle name="Neutral 2 3 3" xfId="2143" xr:uid="{00000000-0005-0000-0000-00005E080000}"/>
    <cellStyle name="Neutral 2 4" xfId="2144" xr:uid="{00000000-0005-0000-0000-00005F080000}"/>
    <cellStyle name="Neutral 2 5" xfId="2145" xr:uid="{00000000-0005-0000-0000-000060080000}"/>
    <cellStyle name="Neutral 3" xfId="2146" xr:uid="{00000000-0005-0000-0000-000061080000}"/>
    <cellStyle name="Neutral 3 2" xfId="2147" xr:uid="{00000000-0005-0000-0000-000062080000}"/>
    <cellStyle name="Neutral 3 3" xfId="2148" xr:uid="{00000000-0005-0000-0000-000063080000}"/>
    <cellStyle name="Neutral 3 4" xfId="2149" xr:uid="{00000000-0005-0000-0000-000064080000}"/>
    <cellStyle name="Neutral 4" xfId="2150" xr:uid="{00000000-0005-0000-0000-000065080000}"/>
    <cellStyle name="Neutral 4 2" xfId="2151" xr:uid="{00000000-0005-0000-0000-000066080000}"/>
    <cellStyle name="Neutral 4 3" xfId="2152" xr:uid="{00000000-0005-0000-0000-000067080000}"/>
    <cellStyle name="Neutral 4 4" xfId="2153" xr:uid="{00000000-0005-0000-0000-000068080000}"/>
    <cellStyle name="Neutral 5" xfId="2154" xr:uid="{00000000-0005-0000-0000-000069080000}"/>
    <cellStyle name="Neutral 5 2" xfId="2155" xr:uid="{00000000-0005-0000-0000-00006A080000}"/>
    <cellStyle name="Neutral 5 2 2" xfId="2156" xr:uid="{00000000-0005-0000-0000-00006B080000}"/>
    <cellStyle name="Neutral 5 2 3" xfId="2157" xr:uid="{00000000-0005-0000-0000-00006C080000}"/>
    <cellStyle name="Neutral 5 2 4" xfId="2158" xr:uid="{00000000-0005-0000-0000-00006D080000}"/>
    <cellStyle name="Neutral 5 3" xfId="2159" xr:uid="{00000000-0005-0000-0000-00006E080000}"/>
    <cellStyle name="Neutral 5 3 2" xfId="2160" xr:uid="{00000000-0005-0000-0000-00006F080000}"/>
    <cellStyle name="Neutral 5 3 3" xfId="2161" xr:uid="{00000000-0005-0000-0000-000070080000}"/>
    <cellStyle name="Neutral 5 4" xfId="2162" xr:uid="{00000000-0005-0000-0000-000071080000}"/>
    <cellStyle name="Neutral 5 4 2" xfId="2163" xr:uid="{00000000-0005-0000-0000-000072080000}"/>
    <cellStyle name="Neutral 5 4 2 2" xfId="2164" xr:uid="{00000000-0005-0000-0000-000073080000}"/>
    <cellStyle name="Neutral 5 4 3" xfId="2165" xr:uid="{00000000-0005-0000-0000-000074080000}"/>
    <cellStyle name="Neutral 5 4 3 2" xfId="2166" xr:uid="{00000000-0005-0000-0000-000075080000}"/>
    <cellStyle name="Neutral 6" xfId="2167" xr:uid="{00000000-0005-0000-0000-000076080000}"/>
    <cellStyle name="Neutral 6 2" xfId="2168" xr:uid="{00000000-0005-0000-0000-000077080000}"/>
    <cellStyle name="Neutral 6 3" xfId="2169" xr:uid="{00000000-0005-0000-0000-000078080000}"/>
    <cellStyle name="Neutral 7" xfId="2170" xr:uid="{00000000-0005-0000-0000-000079080000}"/>
    <cellStyle name="Neutral 7 2" xfId="2171" xr:uid="{00000000-0005-0000-0000-00007A080000}"/>
    <cellStyle name="Neutral 8" xfId="2172" xr:uid="{00000000-0005-0000-0000-00007B080000}"/>
    <cellStyle name="Neutral 9" xfId="2173" xr:uid="{00000000-0005-0000-0000-00007C080000}"/>
    <cellStyle name="Neutral 9 2" xfId="2174" xr:uid="{00000000-0005-0000-0000-00007D080000}"/>
    <cellStyle name="Neutral 9 2 2" xfId="2175" xr:uid="{00000000-0005-0000-0000-00007E080000}"/>
    <cellStyle name="Neutral 9 3" xfId="2176" xr:uid="{00000000-0005-0000-0000-00007F080000}"/>
    <cellStyle name="Neutral 9 3 2" xfId="2177" xr:uid="{00000000-0005-0000-0000-000080080000}"/>
    <cellStyle name="Normal" xfId="0" builtinId="0"/>
    <cellStyle name="Normal 10" xfId="2178" xr:uid="{00000000-0005-0000-0000-000082080000}"/>
    <cellStyle name="Normal 10 2" xfId="2179" xr:uid="{00000000-0005-0000-0000-000083080000}"/>
    <cellStyle name="Normal 10 3" xfId="2180" xr:uid="{00000000-0005-0000-0000-000084080000}"/>
    <cellStyle name="Normal 10 4" xfId="2181" xr:uid="{00000000-0005-0000-0000-000085080000}"/>
    <cellStyle name="Normal 11" xfId="2182" xr:uid="{00000000-0005-0000-0000-000086080000}"/>
    <cellStyle name="Normal 11 2" xfId="2183" xr:uid="{00000000-0005-0000-0000-000087080000}"/>
    <cellStyle name="Normal 11 3" xfId="2184" xr:uid="{00000000-0005-0000-0000-000088080000}"/>
    <cellStyle name="Normal 11 3 2" xfId="2185" xr:uid="{00000000-0005-0000-0000-000089080000}"/>
    <cellStyle name="Normal 12" xfId="2186" xr:uid="{00000000-0005-0000-0000-00008A080000}"/>
    <cellStyle name="Normal 12 2" xfId="2187" xr:uid="{00000000-0005-0000-0000-00008B080000}"/>
    <cellStyle name="Normal 12 2 2" xfId="2188" xr:uid="{00000000-0005-0000-0000-00008C080000}"/>
    <cellStyle name="Normal 12 2 2 2" xfId="2189" xr:uid="{00000000-0005-0000-0000-00008D080000}"/>
    <cellStyle name="Normal 12 2 2 2 2" xfId="2190" xr:uid="{00000000-0005-0000-0000-00008E080000}"/>
    <cellStyle name="Normal 12 2 2 2 3" xfId="2191" xr:uid="{00000000-0005-0000-0000-00008F080000}"/>
    <cellStyle name="Normal 12 2 2 3" xfId="2192" xr:uid="{00000000-0005-0000-0000-000090080000}"/>
    <cellStyle name="Normal 12 2 2 3 2" xfId="2193" xr:uid="{00000000-0005-0000-0000-000091080000}"/>
    <cellStyle name="Normal 12 2 2 4" xfId="2194" xr:uid="{00000000-0005-0000-0000-000092080000}"/>
    <cellStyle name="Normal 12 2 2 5" xfId="2195" xr:uid="{00000000-0005-0000-0000-000093080000}"/>
    <cellStyle name="Normal 12 2 3" xfId="2196" xr:uid="{00000000-0005-0000-0000-000094080000}"/>
    <cellStyle name="Normal 12 2 3 2" xfId="2197" xr:uid="{00000000-0005-0000-0000-000095080000}"/>
    <cellStyle name="Normal 12 2 3 2 2" xfId="2198" xr:uid="{00000000-0005-0000-0000-000096080000}"/>
    <cellStyle name="Normal 12 2 3 2 3" xfId="2199" xr:uid="{00000000-0005-0000-0000-000097080000}"/>
    <cellStyle name="Normal 12 2 3 3" xfId="2200" xr:uid="{00000000-0005-0000-0000-000098080000}"/>
    <cellStyle name="Normal 12 2 3 3 2" xfId="2201" xr:uid="{00000000-0005-0000-0000-000099080000}"/>
    <cellStyle name="Normal 12 2 3 4" xfId="2202" xr:uid="{00000000-0005-0000-0000-00009A080000}"/>
    <cellStyle name="Normal 12 2 3 5" xfId="2203" xr:uid="{00000000-0005-0000-0000-00009B080000}"/>
    <cellStyle name="Normal 12 2 4" xfId="2204" xr:uid="{00000000-0005-0000-0000-00009C080000}"/>
    <cellStyle name="Normal 12 2 4 2" xfId="2205" xr:uid="{00000000-0005-0000-0000-00009D080000}"/>
    <cellStyle name="Normal 12 2 4 3" xfId="2206" xr:uid="{00000000-0005-0000-0000-00009E080000}"/>
    <cellStyle name="Normal 12 2 5" xfId="2207" xr:uid="{00000000-0005-0000-0000-00009F080000}"/>
    <cellStyle name="Normal 12 2 5 2" xfId="2208" xr:uid="{00000000-0005-0000-0000-0000A0080000}"/>
    <cellStyle name="Normal 12 2 6" xfId="2209" xr:uid="{00000000-0005-0000-0000-0000A1080000}"/>
    <cellStyle name="Normal 12 2 7" xfId="2210" xr:uid="{00000000-0005-0000-0000-0000A2080000}"/>
    <cellStyle name="Normal 12 2 8" xfId="2211" xr:uid="{00000000-0005-0000-0000-0000A3080000}"/>
    <cellStyle name="Normal 12 2 8 2" xfId="2212" xr:uid="{00000000-0005-0000-0000-0000A4080000}"/>
    <cellStyle name="Normal 12 2 9" xfId="2213" xr:uid="{00000000-0005-0000-0000-0000A5080000}"/>
    <cellStyle name="Normal 12 3" xfId="2214" xr:uid="{00000000-0005-0000-0000-0000A6080000}"/>
    <cellStyle name="Normal 12 4" xfId="2215" xr:uid="{00000000-0005-0000-0000-0000A7080000}"/>
    <cellStyle name="Normal 12 4 2" xfId="2216" xr:uid="{00000000-0005-0000-0000-0000A8080000}"/>
    <cellStyle name="Normal 12 4 2 2" xfId="2217" xr:uid="{00000000-0005-0000-0000-0000A9080000}"/>
    <cellStyle name="Normal 12 4 2 3" xfId="2218" xr:uid="{00000000-0005-0000-0000-0000AA080000}"/>
    <cellStyle name="Normal 12 4 3" xfId="2219" xr:uid="{00000000-0005-0000-0000-0000AB080000}"/>
    <cellStyle name="Normal 12 4 3 2" xfId="2220" xr:uid="{00000000-0005-0000-0000-0000AC080000}"/>
    <cellStyle name="Normal 12 4 4" xfId="2221" xr:uid="{00000000-0005-0000-0000-0000AD080000}"/>
    <cellStyle name="Normal 12 4 5" xfId="2222" xr:uid="{00000000-0005-0000-0000-0000AE080000}"/>
    <cellStyle name="Normal 12 5" xfId="2223" xr:uid="{00000000-0005-0000-0000-0000AF080000}"/>
    <cellStyle name="Normal 12 5 2" xfId="2224" xr:uid="{00000000-0005-0000-0000-0000B0080000}"/>
    <cellStyle name="Normal 12 5 2 2" xfId="2225" xr:uid="{00000000-0005-0000-0000-0000B1080000}"/>
    <cellStyle name="Normal 12 5 2 3" xfId="2226" xr:uid="{00000000-0005-0000-0000-0000B2080000}"/>
    <cellStyle name="Normal 12 5 3" xfId="2227" xr:uid="{00000000-0005-0000-0000-0000B3080000}"/>
    <cellStyle name="Normal 12 5 3 2" xfId="2228" xr:uid="{00000000-0005-0000-0000-0000B4080000}"/>
    <cellStyle name="Normal 12 5 4" xfId="2229" xr:uid="{00000000-0005-0000-0000-0000B5080000}"/>
    <cellStyle name="Normal 12 5 5" xfId="2230" xr:uid="{00000000-0005-0000-0000-0000B6080000}"/>
    <cellStyle name="Normal 12 6" xfId="2231" xr:uid="{00000000-0005-0000-0000-0000B7080000}"/>
    <cellStyle name="Normal 12 6 2" xfId="2232" xr:uid="{00000000-0005-0000-0000-0000B8080000}"/>
    <cellStyle name="Normal 12 6 3" xfId="2233" xr:uid="{00000000-0005-0000-0000-0000B9080000}"/>
    <cellStyle name="Normal 12 7" xfId="2234" xr:uid="{00000000-0005-0000-0000-0000BA080000}"/>
    <cellStyle name="Normal 12 7 2" xfId="2235" xr:uid="{00000000-0005-0000-0000-0000BB080000}"/>
    <cellStyle name="Normal 12 7 3" xfId="2236" xr:uid="{00000000-0005-0000-0000-0000BC080000}"/>
    <cellStyle name="Normal 12 8" xfId="2237" xr:uid="{00000000-0005-0000-0000-0000BD080000}"/>
    <cellStyle name="Normal 12 8 2" xfId="2238" xr:uid="{00000000-0005-0000-0000-0000BE080000}"/>
    <cellStyle name="Normal 12 9" xfId="2239" xr:uid="{00000000-0005-0000-0000-0000BF080000}"/>
    <cellStyle name="Normal 12 9 2" xfId="2240" xr:uid="{00000000-0005-0000-0000-0000C0080000}"/>
    <cellStyle name="Normal 13" xfId="2241" xr:uid="{00000000-0005-0000-0000-0000C1080000}"/>
    <cellStyle name="Normal 13 10" xfId="2242" xr:uid="{00000000-0005-0000-0000-0000C2080000}"/>
    <cellStyle name="Normal 13 10 2" xfId="2243" xr:uid="{00000000-0005-0000-0000-0000C3080000}"/>
    <cellStyle name="Normal 13 11" xfId="2244" xr:uid="{00000000-0005-0000-0000-0000C4080000}"/>
    <cellStyle name="Normal 13 11 2" xfId="2245" xr:uid="{00000000-0005-0000-0000-0000C5080000}"/>
    <cellStyle name="Normal 13 2" xfId="2246" xr:uid="{00000000-0005-0000-0000-0000C6080000}"/>
    <cellStyle name="Normal 13 2 10" xfId="2247" xr:uid="{00000000-0005-0000-0000-0000C7080000}"/>
    <cellStyle name="Normal 13 2 11" xfId="2248" xr:uid="{00000000-0005-0000-0000-0000C8080000}"/>
    <cellStyle name="Normal 13 2 12" xfId="2249" xr:uid="{00000000-0005-0000-0000-0000C9080000}"/>
    <cellStyle name="Normal 13 2 12 2" xfId="2250" xr:uid="{00000000-0005-0000-0000-0000CA080000}"/>
    <cellStyle name="Normal 13 2 13" xfId="2251" xr:uid="{00000000-0005-0000-0000-0000CB080000}"/>
    <cellStyle name="Normal 13 2 2" xfId="2252" xr:uid="{00000000-0005-0000-0000-0000CC080000}"/>
    <cellStyle name="Normal 13 2 2 2" xfId="2253" xr:uid="{00000000-0005-0000-0000-0000CD080000}"/>
    <cellStyle name="Normal 13 2 2 2 2" xfId="2254" xr:uid="{00000000-0005-0000-0000-0000CE080000}"/>
    <cellStyle name="Normal 13 2 2 2 2 2" xfId="2255" xr:uid="{00000000-0005-0000-0000-0000CF080000}"/>
    <cellStyle name="Normal 13 2 2 2 2 2 2" xfId="2256" xr:uid="{00000000-0005-0000-0000-0000D0080000}"/>
    <cellStyle name="Normal 13 2 2 2 2 2 2 2" xfId="2257" xr:uid="{00000000-0005-0000-0000-0000D1080000}"/>
    <cellStyle name="Normal 13 2 2 2 2 2 2 3" xfId="2258" xr:uid="{00000000-0005-0000-0000-0000D2080000}"/>
    <cellStyle name="Normal 13 2 2 2 2 2 3" xfId="2259" xr:uid="{00000000-0005-0000-0000-0000D3080000}"/>
    <cellStyle name="Normal 13 2 2 2 2 2 3 2" xfId="2260" xr:uid="{00000000-0005-0000-0000-0000D4080000}"/>
    <cellStyle name="Normal 13 2 2 2 2 2 4" xfId="2261" xr:uid="{00000000-0005-0000-0000-0000D5080000}"/>
    <cellStyle name="Normal 13 2 2 2 2 2 5" xfId="2262" xr:uid="{00000000-0005-0000-0000-0000D6080000}"/>
    <cellStyle name="Normal 13 2 2 2 2 3" xfId="2263" xr:uid="{00000000-0005-0000-0000-0000D7080000}"/>
    <cellStyle name="Normal 13 2 2 2 2 3 2" xfId="2264" xr:uid="{00000000-0005-0000-0000-0000D8080000}"/>
    <cellStyle name="Normal 13 2 2 2 2 3 3" xfId="2265" xr:uid="{00000000-0005-0000-0000-0000D9080000}"/>
    <cellStyle name="Normal 13 2 2 2 2 4" xfId="2266" xr:uid="{00000000-0005-0000-0000-0000DA080000}"/>
    <cellStyle name="Normal 13 2 2 2 2 4 2" xfId="2267" xr:uid="{00000000-0005-0000-0000-0000DB080000}"/>
    <cellStyle name="Normal 13 2 2 2 2 5" xfId="2268" xr:uid="{00000000-0005-0000-0000-0000DC080000}"/>
    <cellStyle name="Normal 13 2 2 2 2 6" xfId="2269" xr:uid="{00000000-0005-0000-0000-0000DD080000}"/>
    <cellStyle name="Normal 13 2 2 2 3" xfId="2270" xr:uid="{00000000-0005-0000-0000-0000DE080000}"/>
    <cellStyle name="Normal 13 2 2 2 3 2" xfId="2271" xr:uid="{00000000-0005-0000-0000-0000DF080000}"/>
    <cellStyle name="Normal 13 2 2 2 3 2 2" xfId="2272" xr:uid="{00000000-0005-0000-0000-0000E0080000}"/>
    <cellStyle name="Normal 13 2 2 2 3 2 3" xfId="2273" xr:uid="{00000000-0005-0000-0000-0000E1080000}"/>
    <cellStyle name="Normal 13 2 2 2 3 3" xfId="2274" xr:uid="{00000000-0005-0000-0000-0000E2080000}"/>
    <cellStyle name="Normal 13 2 2 2 3 3 2" xfId="2275" xr:uid="{00000000-0005-0000-0000-0000E3080000}"/>
    <cellStyle name="Normal 13 2 2 2 3 4" xfId="2276" xr:uid="{00000000-0005-0000-0000-0000E4080000}"/>
    <cellStyle name="Normal 13 2 2 2 3 5" xfId="2277" xr:uid="{00000000-0005-0000-0000-0000E5080000}"/>
    <cellStyle name="Normal 13 2 2 2 4" xfId="2278" xr:uid="{00000000-0005-0000-0000-0000E6080000}"/>
    <cellStyle name="Normal 13 2 2 2 4 2" xfId="2279" xr:uid="{00000000-0005-0000-0000-0000E7080000}"/>
    <cellStyle name="Normal 13 2 2 2 4 3" xfId="2280" xr:uid="{00000000-0005-0000-0000-0000E8080000}"/>
    <cellStyle name="Normal 13 2 2 2 5" xfId="2281" xr:uid="{00000000-0005-0000-0000-0000E9080000}"/>
    <cellStyle name="Normal 13 2 2 2 5 2" xfId="2282" xr:uid="{00000000-0005-0000-0000-0000EA080000}"/>
    <cellStyle name="Normal 13 2 2 2 5 3" xfId="2283" xr:uid="{00000000-0005-0000-0000-0000EB080000}"/>
    <cellStyle name="Normal 13 2 2 2 6" xfId="2284" xr:uid="{00000000-0005-0000-0000-0000EC080000}"/>
    <cellStyle name="Normal 13 2 2 2 6 2" xfId="2285" xr:uid="{00000000-0005-0000-0000-0000ED080000}"/>
    <cellStyle name="Normal 13 2 2 2 7" xfId="2286" xr:uid="{00000000-0005-0000-0000-0000EE080000}"/>
    <cellStyle name="Normal 13 2 2 2 8" xfId="2287" xr:uid="{00000000-0005-0000-0000-0000EF080000}"/>
    <cellStyle name="Normal 13 2 2 3" xfId="2288" xr:uid="{00000000-0005-0000-0000-0000F0080000}"/>
    <cellStyle name="Normal 13 2 2 3 2" xfId="2289" xr:uid="{00000000-0005-0000-0000-0000F1080000}"/>
    <cellStyle name="Normal 13 2 2 3 2 2" xfId="2290" xr:uid="{00000000-0005-0000-0000-0000F2080000}"/>
    <cellStyle name="Normal 13 2 2 3 2 2 2" xfId="2291" xr:uid="{00000000-0005-0000-0000-0000F3080000}"/>
    <cellStyle name="Normal 13 2 2 3 2 2 3" xfId="2292" xr:uid="{00000000-0005-0000-0000-0000F4080000}"/>
    <cellStyle name="Normal 13 2 2 3 2 3" xfId="2293" xr:uid="{00000000-0005-0000-0000-0000F5080000}"/>
    <cellStyle name="Normal 13 2 2 3 2 3 2" xfId="2294" xr:uid="{00000000-0005-0000-0000-0000F6080000}"/>
    <cellStyle name="Normal 13 2 2 3 2 4" xfId="2295" xr:uid="{00000000-0005-0000-0000-0000F7080000}"/>
    <cellStyle name="Normal 13 2 2 3 2 5" xfId="2296" xr:uid="{00000000-0005-0000-0000-0000F8080000}"/>
    <cellStyle name="Normal 13 2 2 3 3" xfId="2297" xr:uid="{00000000-0005-0000-0000-0000F9080000}"/>
    <cellStyle name="Normal 13 2 2 3 3 2" xfId="2298" xr:uid="{00000000-0005-0000-0000-0000FA080000}"/>
    <cellStyle name="Normal 13 2 2 3 3 3" xfId="2299" xr:uid="{00000000-0005-0000-0000-0000FB080000}"/>
    <cellStyle name="Normal 13 2 2 3 4" xfId="2300" xr:uid="{00000000-0005-0000-0000-0000FC080000}"/>
    <cellStyle name="Normal 13 2 2 3 4 2" xfId="2301" xr:uid="{00000000-0005-0000-0000-0000FD080000}"/>
    <cellStyle name="Normal 13 2 2 3 5" xfId="2302" xr:uid="{00000000-0005-0000-0000-0000FE080000}"/>
    <cellStyle name="Normal 13 2 2 3 6" xfId="2303" xr:uid="{00000000-0005-0000-0000-0000FF080000}"/>
    <cellStyle name="Normal 13 2 2 4" xfId="2304" xr:uid="{00000000-0005-0000-0000-000000090000}"/>
    <cellStyle name="Normal 13 2 2 4 2" xfId="2305" xr:uid="{00000000-0005-0000-0000-000001090000}"/>
    <cellStyle name="Normal 13 2 2 4 2 2" xfId="2306" xr:uid="{00000000-0005-0000-0000-000002090000}"/>
    <cellStyle name="Normal 13 2 2 4 2 3" xfId="2307" xr:uid="{00000000-0005-0000-0000-000003090000}"/>
    <cellStyle name="Normal 13 2 2 4 3" xfId="2308" xr:uid="{00000000-0005-0000-0000-000004090000}"/>
    <cellStyle name="Normal 13 2 2 4 3 2" xfId="2309" xr:uid="{00000000-0005-0000-0000-000005090000}"/>
    <cellStyle name="Normal 13 2 2 4 4" xfId="2310" xr:uid="{00000000-0005-0000-0000-000006090000}"/>
    <cellStyle name="Normal 13 2 2 4 5" xfId="2311" xr:uid="{00000000-0005-0000-0000-000007090000}"/>
    <cellStyle name="Normal 13 2 2 5" xfId="2312" xr:uid="{00000000-0005-0000-0000-000008090000}"/>
    <cellStyle name="Normal 13 2 2 5 2" xfId="2313" xr:uid="{00000000-0005-0000-0000-000009090000}"/>
    <cellStyle name="Normal 13 2 2 5 3" xfId="2314" xr:uid="{00000000-0005-0000-0000-00000A090000}"/>
    <cellStyle name="Normal 13 2 2 6" xfId="2315" xr:uid="{00000000-0005-0000-0000-00000B090000}"/>
    <cellStyle name="Normal 13 2 2 6 2" xfId="2316" xr:uid="{00000000-0005-0000-0000-00000C090000}"/>
    <cellStyle name="Normal 13 2 2 6 3" xfId="2317" xr:uid="{00000000-0005-0000-0000-00000D090000}"/>
    <cellStyle name="Normal 13 2 2 7" xfId="2318" xr:uid="{00000000-0005-0000-0000-00000E090000}"/>
    <cellStyle name="Normal 13 2 2 7 2" xfId="2319" xr:uid="{00000000-0005-0000-0000-00000F090000}"/>
    <cellStyle name="Normal 13 2 2 8" xfId="2320" xr:uid="{00000000-0005-0000-0000-000010090000}"/>
    <cellStyle name="Normal 13 2 2 9" xfId="2321" xr:uid="{00000000-0005-0000-0000-000011090000}"/>
    <cellStyle name="Normal 13 2 3" xfId="2322" xr:uid="{00000000-0005-0000-0000-000012090000}"/>
    <cellStyle name="Normal 13 2 3 2" xfId="2323" xr:uid="{00000000-0005-0000-0000-000013090000}"/>
    <cellStyle name="Normal 13 2 3 2 2" xfId="2324" xr:uid="{00000000-0005-0000-0000-000014090000}"/>
    <cellStyle name="Normal 13 2 3 2 2 2" xfId="2325" xr:uid="{00000000-0005-0000-0000-000015090000}"/>
    <cellStyle name="Normal 13 2 3 2 2 2 2" xfId="2326" xr:uid="{00000000-0005-0000-0000-000016090000}"/>
    <cellStyle name="Normal 13 2 3 2 2 2 3" xfId="2327" xr:uid="{00000000-0005-0000-0000-000017090000}"/>
    <cellStyle name="Normal 13 2 3 2 2 3" xfId="2328" xr:uid="{00000000-0005-0000-0000-000018090000}"/>
    <cellStyle name="Normal 13 2 3 2 2 3 2" xfId="2329" xr:uid="{00000000-0005-0000-0000-000019090000}"/>
    <cellStyle name="Normal 13 2 3 2 2 4" xfId="2330" xr:uid="{00000000-0005-0000-0000-00001A090000}"/>
    <cellStyle name="Normal 13 2 3 2 2 5" xfId="2331" xr:uid="{00000000-0005-0000-0000-00001B090000}"/>
    <cellStyle name="Normal 13 2 3 2 3" xfId="2332" xr:uid="{00000000-0005-0000-0000-00001C090000}"/>
    <cellStyle name="Normal 13 2 3 2 3 2" xfId="2333" xr:uid="{00000000-0005-0000-0000-00001D090000}"/>
    <cellStyle name="Normal 13 2 3 2 3 3" xfId="2334" xr:uid="{00000000-0005-0000-0000-00001E090000}"/>
    <cellStyle name="Normal 13 2 3 2 4" xfId="2335" xr:uid="{00000000-0005-0000-0000-00001F090000}"/>
    <cellStyle name="Normal 13 2 3 2 4 2" xfId="2336" xr:uid="{00000000-0005-0000-0000-000020090000}"/>
    <cellStyle name="Normal 13 2 3 2 5" xfId="2337" xr:uid="{00000000-0005-0000-0000-000021090000}"/>
    <cellStyle name="Normal 13 2 3 2 6" xfId="2338" xr:uid="{00000000-0005-0000-0000-000022090000}"/>
    <cellStyle name="Normal 13 2 3 3" xfId="2339" xr:uid="{00000000-0005-0000-0000-000023090000}"/>
    <cellStyle name="Normal 13 2 3 3 2" xfId="2340" xr:uid="{00000000-0005-0000-0000-000024090000}"/>
    <cellStyle name="Normal 13 2 3 3 2 2" xfId="2341" xr:uid="{00000000-0005-0000-0000-000025090000}"/>
    <cellStyle name="Normal 13 2 3 3 2 3" xfId="2342" xr:uid="{00000000-0005-0000-0000-000026090000}"/>
    <cellStyle name="Normal 13 2 3 3 3" xfId="2343" xr:uid="{00000000-0005-0000-0000-000027090000}"/>
    <cellStyle name="Normal 13 2 3 3 3 2" xfId="2344" xr:uid="{00000000-0005-0000-0000-000028090000}"/>
    <cellStyle name="Normal 13 2 3 3 4" xfId="2345" xr:uid="{00000000-0005-0000-0000-000029090000}"/>
    <cellStyle name="Normal 13 2 3 3 5" xfId="2346" xr:uid="{00000000-0005-0000-0000-00002A090000}"/>
    <cellStyle name="Normal 13 2 3 4" xfId="2347" xr:uid="{00000000-0005-0000-0000-00002B090000}"/>
    <cellStyle name="Normal 13 2 3 4 2" xfId="2348" xr:uid="{00000000-0005-0000-0000-00002C090000}"/>
    <cellStyle name="Normal 13 2 3 4 3" xfId="2349" xr:uid="{00000000-0005-0000-0000-00002D090000}"/>
    <cellStyle name="Normal 13 2 3 5" xfId="2350" xr:uid="{00000000-0005-0000-0000-00002E090000}"/>
    <cellStyle name="Normal 13 2 3 5 2" xfId="2351" xr:uid="{00000000-0005-0000-0000-00002F090000}"/>
    <cellStyle name="Normal 13 2 3 5 3" xfId="2352" xr:uid="{00000000-0005-0000-0000-000030090000}"/>
    <cellStyle name="Normal 13 2 3 6" xfId="2353" xr:uid="{00000000-0005-0000-0000-000031090000}"/>
    <cellStyle name="Normal 13 2 3 6 2" xfId="2354" xr:uid="{00000000-0005-0000-0000-000032090000}"/>
    <cellStyle name="Normal 13 2 3 7" xfId="2355" xr:uid="{00000000-0005-0000-0000-000033090000}"/>
    <cellStyle name="Normal 13 2 3 8" xfId="2356" xr:uid="{00000000-0005-0000-0000-000034090000}"/>
    <cellStyle name="Normal 13 2 4" xfId="2357" xr:uid="{00000000-0005-0000-0000-000035090000}"/>
    <cellStyle name="Normal 13 2 4 2" xfId="2358" xr:uid="{00000000-0005-0000-0000-000036090000}"/>
    <cellStyle name="Normal 13 2 4 2 2" xfId="2359" xr:uid="{00000000-0005-0000-0000-000037090000}"/>
    <cellStyle name="Normal 13 2 4 2 2 2" xfId="2360" xr:uid="{00000000-0005-0000-0000-000038090000}"/>
    <cellStyle name="Normal 13 2 4 2 2 3" xfId="2361" xr:uid="{00000000-0005-0000-0000-000039090000}"/>
    <cellStyle name="Normal 13 2 4 2 3" xfId="2362" xr:uid="{00000000-0005-0000-0000-00003A090000}"/>
    <cellStyle name="Normal 13 2 4 2 3 2" xfId="2363" xr:uid="{00000000-0005-0000-0000-00003B090000}"/>
    <cellStyle name="Normal 13 2 4 2 4" xfId="2364" xr:uid="{00000000-0005-0000-0000-00003C090000}"/>
    <cellStyle name="Normal 13 2 4 2 5" xfId="2365" xr:uid="{00000000-0005-0000-0000-00003D090000}"/>
    <cellStyle name="Normal 13 2 4 3" xfId="2366" xr:uid="{00000000-0005-0000-0000-00003E090000}"/>
    <cellStyle name="Normal 13 2 4 3 2" xfId="2367" xr:uid="{00000000-0005-0000-0000-00003F090000}"/>
    <cellStyle name="Normal 13 2 4 3 3" xfId="2368" xr:uid="{00000000-0005-0000-0000-000040090000}"/>
    <cellStyle name="Normal 13 2 4 4" xfId="2369" xr:uid="{00000000-0005-0000-0000-000041090000}"/>
    <cellStyle name="Normal 13 2 4 4 2" xfId="2370" xr:uid="{00000000-0005-0000-0000-000042090000}"/>
    <cellStyle name="Normal 13 2 4 5" xfId="2371" xr:uid="{00000000-0005-0000-0000-000043090000}"/>
    <cellStyle name="Normal 13 2 4 6" xfId="2372" xr:uid="{00000000-0005-0000-0000-000044090000}"/>
    <cellStyle name="Normal 13 2 5" xfId="2373" xr:uid="{00000000-0005-0000-0000-000045090000}"/>
    <cellStyle name="Normal 13 2 5 2" xfId="2374" xr:uid="{00000000-0005-0000-0000-000046090000}"/>
    <cellStyle name="Normal 13 2 5 2 2" xfId="2375" xr:uid="{00000000-0005-0000-0000-000047090000}"/>
    <cellStyle name="Normal 13 2 5 2 2 2" xfId="2376" xr:uid="{00000000-0005-0000-0000-000048090000}"/>
    <cellStyle name="Normal 13 2 5 2 2 3" xfId="2377" xr:uid="{00000000-0005-0000-0000-000049090000}"/>
    <cellStyle name="Normal 13 2 5 2 3" xfId="2378" xr:uid="{00000000-0005-0000-0000-00004A090000}"/>
    <cellStyle name="Normal 13 2 5 2 3 2" xfId="2379" xr:uid="{00000000-0005-0000-0000-00004B090000}"/>
    <cellStyle name="Normal 13 2 5 2 4" xfId="2380" xr:uid="{00000000-0005-0000-0000-00004C090000}"/>
    <cellStyle name="Normal 13 2 5 2 5" xfId="2381" xr:uid="{00000000-0005-0000-0000-00004D090000}"/>
    <cellStyle name="Normal 13 2 5 3" xfId="2382" xr:uid="{00000000-0005-0000-0000-00004E090000}"/>
    <cellStyle name="Normal 13 2 5 3 2" xfId="2383" xr:uid="{00000000-0005-0000-0000-00004F090000}"/>
    <cellStyle name="Normal 13 2 5 3 3" xfId="2384" xr:uid="{00000000-0005-0000-0000-000050090000}"/>
    <cellStyle name="Normal 13 2 5 4" xfId="2385" xr:uid="{00000000-0005-0000-0000-000051090000}"/>
    <cellStyle name="Normal 13 2 5 4 2" xfId="2386" xr:uid="{00000000-0005-0000-0000-000052090000}"/>
    <cellStyle name="Normal 13 2 5 5" xfId="2387" xr:uid="{00000000-0005-0000-0000-000053090000}"/>
    <cellStyle name="Normal 13 2 5 6" xfId="2388" xr:uid="{00000000-0005-0000-0000-000054090000}"/>
    <cellStyle name="Normal 13 2 6" xfId="2389" xr:uid="{00000000-0005-0000-0000-000055090000}"/>
    <cellStyle name="Normal 13 2 6 2" xfId="2390" xr:uid="{00000000-0005-0000-0000-000056090000}"/>
    <cellStyle name="Normal 13 2 6 2 2" xfId="2391" xr:uid="{00000000-0005-0000-0000-000057090000}"/>
    <cellStyle name="Normal 13 2 6 2 3" xfId="2392" xr:uid="{00000000-0005-0000-0000-000058090000}"/>
    <cellStyle name="Normal 13 2 6 3" xfId="2393" xr:uid="{00000000-0005-0000-0000-000059090000}"/>
    <cellStyle name="Normal 13 2 6 3 2" xfId="2394" xr:uid="{00000000-0005-0000-0000-00005A090000}"/>
    <cellStyle name="Normal 13 2 6 4" xfId="2395" xr:uid="{00000000-0005-0000-0000-00005B090000}"/>
    <cellStyle name="Normal 13 2 6 5" xfId="2396" xr:uid="{00000000-0005-0000-0000-00005C090000}"/>
    <cellStyle name="Normal 13 2 7" xfId="2397" xr:uid="{00000000-0005-0000-0000-00005D090000}"/>
    <cellStyle name="Normal 13 2 7 2" xfId="2398" xr:uid="{00000000-0005-0000-0000-00005E090000}"/>
    <cellStyle name="Normal 13 2 7 3" xfId="2399" xr:uid="{00000000-0005-0000-0000-00005F090000}"/>
    <cellStyle name="Normal 13 2 8" xfId="2400" xr:uid="{00000000-0005-0000-0000-000060090000}"/>
    <cellStyle name="Normal 13 2 8 2" xfId="2401" xr:uid="{00000000-0005-0000-0000-000061090000}"/>
    <cellStyle name="Normal 13 2 8 3" xfId="2402" xr:uid="{00000000-0005-0000-0000-000062090000}"/>
    <cellStyle name="Normal 13 2 9" xfId="2403" xr:uid="{00000000-0005-0000-0000-000063090000}"/>
    <cellStyle name="Normal 13 2 9 2" xfId="2404" xr:uid="{00000000-0005-0000-0000-000064090000}"/>
    <cellStyle name="Normal 13 3" xfId="2405" xr:uid="{00000000-0005-0000-0000-000065090000}"/>
    <cellStyle name="Normal 13 3 2" xfId="2406" xr:uid="{00000000-0005-0000-0000-000066090000}"/>
    <cellStyle name="Normal 13 3 2 2" xfId="2407" xr:uid="{00000000-0005-0000-0000-000067090000}"/>
    <cellStyle name="Normal 13 3 2 2 2" xfId="2408" xr:uid="{00000000-0005-0000-0000-000068090000}"/>
    <cellStyle name="Normal 13 3 2 2 2 2" xfId="2409" xr:uid="{00000000-0005-0000-0000-000069090000}"/>
    <cellStyle name="Normal 13 3 2 2 2 3" xfId="2410" xr:uid="{00000000-0005-0000-0000-00006A090000}"/>
    <cellStyle name="Normal 13 3 2 2 3" xfId="2411" xr:uid="{00000000-0005-0000-0000-00006B090000}"/>
    <cellStyle name="Normal 13 3 2 2 3 2" xfId="2412" xr:uid="{00000000-0005-0000-0000-00006C090000}"/>
    <cellStyle name="Normal 13 3 2 2 4" xfId="2413" xr:uid="{00000000-0005-0000-0000-00006D090000}"/>
    <cellStyle name="Normal 13 3 2 2 5" xfId="2414" xr:uid="{00000000-0005-0000-0000-00006E090000}"/>
    <cellStyle name="Normal 13 3 2 3" xfId="2415" xr:uid="{00000000-0005-0000-0000-00006F090000}"/>
    <cellStyle name="Normal 13 3 2 3 2" xfId="2416" xr:uid="{00000000-0005-0000-0000-000070090000}"/>
    <cellStyle name="Normal 13 3 2 3 3" xfId="2417" xr:uid="{00000000-0005-0000-0000-000071090000}"/>
    <cellStyle name="Normal 13 3 2 4" xfId="2418" xr:uid="{00000000-0005-0000-0000-000072090000}"/>
    <cellStyle name="Normal 13 3 2 4 2" xfId="2419" xr:uid="{00000000-0005-0000-0000-000073090000}"/>
    <cellStyle name="Normal 13 3 2 5" xfId="2420" xr:uid="{00000000-0005-0000-0000-000074090000}"/>
    <cellStyle name="Normal 13 3 2 6" xfId="2421" xr:uid="{00000000-0005-0000-0000-000075090000}"/>
    <cellStyle name="Normal 13 3 3" xfId="2422" xr:uid="{00000000-0005-0000-0000-000076090000}"/>
    <cellStyle name="Normal 13 3 3 2" xfId="2423" xr:uid="{00000000-0005-0000-0000-000077090000}"/>
    <cellStyle name="Normal 13 3 3 2 2" xfId="2424" xr:uid="{00000000-0005-0000-0000-000078090000}"/>
    <cellStyle name="Normal 13 3 3 2 3" xfId="2425" xr:uid="{00000000-0005-0000-0000-000079090000}"/>
    <cellStyle name="Normal 13 3 3 3" xfId="2426" xr:uid="{00000000-0005-0000-0000-00007A090000}"/>
    <cellStyle name="Normal 13 3 3 3 2" xfId="2427" xr:uid="{00000000-0005-0000-0000-00007B090000}"/>
    <cellStyle name="Normal 13 3 3 4" xfId="2428" xr:uid="{00000000-0005-0000-0000-00007C090000}"/>
    <cellStyle name="Normal 13 3 3 5" xfId="2429" xr:uid="{00000000-0005-0000-0000-00007D090000}"/>
    <cellStyle name="Normal 13 3 4" xfId="2430" xr:uid="{00000000-0005-0000-0000-00007E090000}"/>
    <cellStyle name="Normal 13 3 4 2" xfId="2431" xr:uid="{00000000-0005-0000-0000-00007F090000}"/>
    <cellStyle name="Normal 13 3 4 3" xfId="2432" xr:uid="{00000000-0005-0000-0000-000080090000}"/>
    <cellStyle name="Normal 13 3 5" xfId="2433" xr:uid="{00000000-0005-0000-0000-000081090000}"/>
    <cellStyle name="Normal 13 3 5 2" xfId="2434" xr:uid="{00000000-0005-0000-0000-000082090000}"/>
    <cellStyle name="Normal 13 3 5 3" xfId="2435" xr:uid="{00000000-0005-0000-0000-000083090000}"/>
    <cellStyle name="Normal 13 3 6" xfId="2436" xr:uid="{00000000-0005-0000-0000-000084090000}"/>
    <cellStyle name="Normal 13 3 6 2" xfId="2437" xr:uid="{00000000-0005-0000-0000-000085090000}"/>
    <cellStyle name="Normal 13 3 7" xfId="2438" xr:uid="{00000000-0005-0000-0000-000086090000}"/>
    <cellStyle name="Normal 13 3 8" xfId="2439" xr:uid="{00000000-0005-0000-0000-000087090000}"/>
    <cellStyle name="Normal 13 4" xfId="2440" xr:uid="{00000000-0005-0000-0000-000088090000}"/>
    <cellStyle name="Normal 13 4 2" xfId="2441" xr:uid="{00000000-0005-0000-0000-000089090000}"/>
    <cellStyle name="Normal 13 4 2 2" xfId="2442" xr:uid="{00000000-0005-0000-0000-00008A090000}"/>
    <cellStyle name="Normal 13 4 2 2 2" xfId="2443" xr:uid="{00000000-0005-0000-0000-00008B090000}"/>
    <cellStyle name="Normal 13 4 2 2 3" xfId="2444" xr:uid="{00000000-0005-0000-0000-00008C090000}"/>
    <cellStyle name="Normal 13 4 2 3" xfId="2445" xr:uid="{00000000-0005-0000-0000-00008D090000}"/>
    <cellStyle name="Normal 13 4 2 3 2" xfId="2446" xr:uid="{00000000-0005-0000-0000-00008E090000}"/>
    <cellStyle name="Normal 13 4 2 4" xfId="2447" xr:uid="{00000000-0005-0000-0000-00008F090000}"/>
    <cellStyle name="Normal 13 4 2 5" xfId="2448" xr:uid="{00000000-0005-0000-0000-000090090000}"/>
    <cellStyle name="Normal 13 4 3" xfId="2449" xr:uid="{00000000-0005-0000-0000-000091090000}"/>
    <cellStyle name="Normal 13 4 3 2" xfId="2450" xr:uid="{00000000-0005-0000-0000-000092090000}"/>
    <cellStyle name="Normal 13 4 3 3" xfId="2451" xr:uid="{00000000-0005-0000-0000-000093090000}"/>
    <cellStyle name="Normal 13 4 4" xfId="2452" xr:uid="{00000000-0005-0000-0000-000094090000}"/>
    <cellStyle name="Normal 13 4 4 2" xfId="2453" xr:uid="{00000000-0005-0000-0000-000095090000}"/>
    <cellStyle name="Normal 13 4 5" xfId="2454" xr:uid="{00000000-0005-0000-0000-000096090000}"/>
    <cellStyle name="Normal 13 4 6" xfId="2455" xr:uid="{00000000-0005-0000-0000-000097090000}"/>
    <cellStyle name="Normal 13 5" xfId="2456" xr:uid="{00000000-0005-0000-0000-000098090000}"/>
    <cellStyle name="Normal 13 5 2" xfId="2457" xr:uid="{00000000-0005-0000-0000-000099090000}"/>
    <cellStyle name="Normal 13 5 2 2" xfId="2458" xr:uid="{00000000-0005-0000-0000-00009A090000}"/>
    <cellStyle name="Normal 13 5 2 2 2" xfId="2459" xr:uid="{00000000-0005-0000-0000-00009B090000}"/>
    <cellStyle name="Normal 13 5 2 2 3" xfId="2460" xr:uid="{00000000-0005-0000-0000-00009C090000}"/>
    <cellStyle name="Normal 13 5 2 3" xfId="2461" xr:uid="{00000000-0005-0000-0000-00009D090000}"/>
    <cellStyle name="Normal 13 5 2 3 2" xfId="2462" xr:uid="{00000000-0005-0000-0000-00009E090000}"/>
    <cellStyle name="Normal 13 5 2 4" xfId="2463" xr:uid="{00000000-0005-0000-0000-00009F090000}"/>
    <cellStyle name="Normal 13 5 2 5" xfId="2464" xr:uid="{00000000-0005-0000-0000-0000A0090000}"/>
    <cellStyle name="Normal 13 5 3" xfId="2465" xr:uid="{00000000-0005-0000-0000-0000A1090000}"/>
    <cellStyle name="Normal 13 5 3 2" xfId="2466" xr:uid="{00000000-0005-0000-0000-0000A2090000}"/>
    <cellStyle name="Normal 13 5 3 3" xfId="2467" xr:uid="{00000000-0005-0000-0000-0000A3090000}"/>
    <cellStyle name="Normal 13 5 4" xfId="2468" xr:uid="{00000000-0005-0000-0000-0000A4090000}"/>
    <cellStyle name="Normal 13 5 4 2" xfId="2469" xr:uid="{00000000-0005-0000-0000-0000A5090000}"/>
    <cellStyle name="Normal 13 5 5" xfId="2470" xr:uid="{00000000-0005-0000-0000-0000A6090000}"/>
    <cellStyle name="Normal 13 5 6" xfId="2471" xr:uid="{00000000-0005-0000-0000-0000A7090000}"/>
    <cellStyle name="Normal 13 6" xfId="2472" xr:uid="{00000000-0005-0000-0000-0000A8090000}"/>
    <cellStyle name="Normal 13 7" xfId="2473" xr:uid="{00000000-0005-0000-0000-0000A9090000}"/>
    <cellStyle name="Normal 13 7 2" xfId="2474" xr:uid="{00000000-0005-0000-0000-0000AA090000}"/>
    <cellStyle name="Normal 13 8" xfId="2475" xr:uid="{00000000-0005-0000-0000-0000AB090000}"/>
    <cellStyle name="Normal 13 9" xfId="2476" xr:uid="{00000000-0005-0000-0000-0000AC090000}"/>
    <cellStyle name="Normal 14" xfId="2477" xr:uid="{00000000-0005-0000-0000-0000AD090000}"/>
    <cellStyle name="Normal 14 2" xfId="2478" xr:uid="{00000000-0005-0000-0000-0000AE090000}"/>
    <cellStyle name="Normal 14 3" xfId="2479" xr:uid="{00000000-0005-0000-0000-0000AF090000}"/>
    <cellStyle name="Normal 14 4" xfId="2480" xr:uid="{00000000-0005-0000-0000-0000B0090000}"/>
    <cellStyle name="Normal 15" xfId="2481" xr:uid="{00000000-0005-0000-0000-0000B1090000}"/>
    <cellStyle name="Normal 15 10" xfId="2482" xr:uid="{00000000-0005-0000-0000-0000B2090000}"/>
    <cellStyle name="Normal 15 11" xfId="2483" xr:uid="{00000000-0005-0000-0000-0000B3090000}"/>
    <cellStyle name="Normal 15 2" xfId="2484" xr:uid="{00000000-0005-0000-0000-0000B4090000}"/>
    <cellStyle name="Normal 15 2 2" xfId="2485" xr:uid="{00000000-0005-0000-0000-0000B5090000}"/>
    <cellStyle name="Normal 15 2 2 2" xfId="2486" xr:uid="{00000000-0005-0000-0000-0000B6090000}"/>
    <cellStyle name="Normal 15 2 2 2 2" xfId="2487" xr:uid="{00000000-0005-0000-0000-0000B7090000}"/>
    <cellStyle name="Normal 15 2 2 2 2 2" xfId="2488" xr:uid="{00000000-0005-0000-0000-0000B8090000}"/>
    <cellStyle name="Normal 15 2 2 2 2 3" xfId="2489" xr:uid="{00000000-0005-0000-0000-0000B9090000}"/>
    <cellStyle name="Normal 15 2 2 2 3" xfId="2490" xr:uid="{00000000-0005-0000-0000-0000BA090000}"/>
    <cellStyle name="Normal 15 2 2 2 3 2" xfId="2491" xr:uid="{00000000-0005-0000-0000-0000BB090000}"/>
    <cellStyle name="Normal 15 2 2 2 4" xfId="2492" xr:uid="{00000000-0005-0000-0000-0000BC090000}"/>
    <cellStyle name="Normal 15 2 2 2 5" xfId="2493" xr:uid="{00000000-0005-0000-0000-0000BD090000}"/>
    <cellStyle name="Normal 15 2 2 3" xfId="2494" xr:uid="{00000000-0005-0000-0000-0000BE090000}"/>
    <cellStyle name="Normal 15 2 2 3 2" xfId="2495" xr:uid="{00000000-0005-0000-0000-0000BF090000}"/>
    <cellStyle name="Normal 15 2 2 3 3" xfId="2496" xr:uid="{00000000-0005-0000-0000-0000C0090000}"/>
    <cellStyle name="Normal 15 2 2 4" xfId="2497" xr:uid="{00000000-0005-0000-0000-0000C1090000}"/>
    <cellStyle name="Normal 15 2 2 4 2" xfId="2498" xr:uid="{00000000-0005-0000-0000-0000C2090000}"/>
    <cellStyle name="Normal 15 2 2 5" xfId="2499" xr:uid="{00000000-0005-0000-0000-0000C3090000}"/>
    <cellStyle name="Normal 15 2 2 6" xfId="2500" xr:uid="{00000000-0005-0000-0000-0000C4090000}"/>
    <cellStyle name="Normal 15 2 3" xfId="2501" xr:uid="{00000000-0005-0000-0000-0000C5090000}"/>
    <cellStyle name="Normal 15 2 3 2" xfId="2502" xr:uid="{00000000-0005-0000-0000-0000C6090000}"/>
    <cellStyle name="Normal 15 2 3 2 2" xfId="2503" xr:uid="{00000000-0005-0000-0000-0000C7090000}"/>
    <cellStyle name="Normal 15 2 3 2 3" xfId="2504" xr:uid="{00000000-0005-0000-0000-0000C8090000}"/>
    <cellStyle name="Normal 15 2 3 3" xfId="2505" xr:uid="{00000000-0005-0000-0000-0000C9090000}"/>
    <cellStyle name="Normal 15 2 3 3 2" xfId="2506" xr:uid="{00000000-0005-0000-0000-0000CA090000}"/>
    <cellStyle name="Normal 15 2 3 4" xfId="2507" xr:uid="{00000000-0005-0000-0000-0000CB090000}"/>
    <cellStyle name="Normal 15 2 3 5" xfId="2508" xr:uid="{00000000-0005-0000-0000-0000CC090000}"/>
    <cellStyle name="Normal 15 2 4" xfId="2509" xr:uid="{00000000-0005-0000-0000-0000CD090000}"/>
    <cellStyle name="Normal 15 2 4 2" xfId="2510" xr:uid="{00000000-0005-0000-0000-0000CE090000}"/>
    <cellStyle name="Normal 15 2 4 3" xfId="2511" xr:uid="{00000000-0005-0000-0000-0000CF090000}"/>
    <cellStyle name="Normal 15 2 5" xfId="2512" xr:uid="{00000000-0005-0000-0000-0000D0090000}"/>
    <cellStyle name="Normal 15 2 5 2" xfId="2513" xr:uid="{00000000-0005-0000-0000-0000D1090000}"/>
    <cellStyle name="Normal 15 2 5 3" xfId="2514" xr:uid="{00000000-0005-0000-0000-0000D2090000}"/>
    <cellStyle name="Normal 15 2 6" xfId="2515" xr:uid="{00000000-0005-0000-0000-0000D3090000}"/>
    <cellStyle name="Normal 15 2 6 2" xfId="2516" xr:uid="{00000000-0005-0000-0000-0000D4090000}"/>
    <cellStyle name="Normal 15 2 7" xfId="2517" xr:uid="{00000000-0005-0000-0000-0000D5090000}"/>
    <cellStyle name="Normal 15 2 8" xfId="2518" xr:uid="{00000000-0005-0000-0000-0000D6090000}"/>
    <cellStyle name="Normal 15 3" xfId="2519" xr:uid="{00000000-0005-0000-0000-0000D7090000}"/>
    <cellStyle name="Normal 15 3 2" xfId="2520" xr:uid="{00000000-0005-0000-0000-0000D8090000}"/>
    <cellStyle name="Normal 15 3 2 2" xfId="2521" xr:uid="{00000000-0005-0000-0000-0000D9090000}"/>
    <cellStyle name="Normal 15 3 2 2 2" xfId="2522" xr:uid="{00000000-0005-0000-0000-0000DA090000}"/>
    <cellStyle name="Normal 15 3 2 2 3" xfId="2523" xr:uid="{00000000-0005-0000-0000-0000DB090000}"/>
    <cellStyle name="Normal 15 3 2 3" xfId="2524" xr:uid="{00000000-0005-0000-0000-0000DC090000}"/>
    <cellStyle name="Normal 15 3 2 3 2" xfId="2525" xr:uid="{00000000-0005-0000-0000-0000DD090000}"/>
    <cellStyle name="Normal 15 3 2 4" xfId="2526" xr:uid="{00000000-0005-0000-0000-0000DE090000}"/>
    <cellStyle name="Normal 15 3 2 5" xfId="2527" xr:uid="{00000000-0005-0000-0000-0000DF090000}"/>
    <cellStyle name="Normal 15 3 3" xfId="2528" xr:uid="{00000000-0005-0000-0000-0000E0090000}"/>
    <cellStyle name="Normal 15 3 3 2" xfId="2529" xr:uid="{00000000-0005-0000-0000-0000E1090000}"/>
    <cellStyle name="Normal 15 3 3 3" xfId="2530" xr:uid="{00000000-0005-0000-0000-0000E2090000}"/>
    <cellStyle name="Normal 15 3 4" xfId="2531" xr:uid="{00000000-0005-0000-0000-0000E3090000}"/>
    <cellStyle name="Normal 15 3 4 2" xfId="2532" xr:uid="{00000000-0005-0000-0000-0000E4090000}"/>
    <cellStyle name="Normal 15 3 5" xfId="2533" xr:uid="{00000000-0005-0000-0000-0000E5090000}"/>
    <cellStyle name="Normal 15 3 6" xfId="2534" xr:uid="{00000000-0005-0000-0000-0000E6090000}"/>
    <cellStyle name="Normal 15 4" xfId="2535" xr:uid="{00000000-0005-0000-0000-0000E7090000}"/>
    <cellStyle name="Normal 15 4 2" xfId="2536" xr:uid="{00000000-0005-0000-0000-0000E8090000}"/>
    <cellStyle name="Normal 15 4 2 2" xfId="2537" xr:uid="{00000000-0005-0000-0000-0000E9090000}"/>
    <cellStyle name="Normal 15 4 2 2 2" xfId="2538" xr:uid="{00000000-0005-0000-0000-0000EA090000}"/>
    <cellStyle name="Normal 15 4 2 2 3" xfId="2539" xr:uid="{00000000-0005-0000-0000-0000EB090000}"/>
    <cellStyle name="Normal 15 4 2 3" xfId="2540" xr:uid="{00000000-0005-0000-0000-0000EC090000}"/>
    <cellStyle name="Normal 15 4 2 3 2" xfId="2541" xr:uid="{00000000-0005-0000-0000-0000ED090000}"/>
    <cellStyle name="Normal 15 4 2 4" xfId="2542" xr:uid="{00000000-0005-0000-0000-0000EE090000}"/>
    <cellStyle name="Normal 15 4 2 5" xfId="2543" xr:uid="{00000000-0005-0000-0000-0000EF090000}"/>
    <cellStyle name="Normal 15 4 3" xfId="2544" xr:uid="{00000000-0005-0000-0000-0000F0090000}"/>
    <cellStyle name="Normal 15 4 3 2" xfId="2545" xr:uid="{00000000-0005-0000-0000-0000F1090000}"/>
    <cellStyle name="Normal 15 4 3 3" xfId="2546" xr:uid="{00000000-0005-0000-0000-0000F2090000}"/>
    <cellStyle name="Normal 15 4 4" xfId="2547" xr:uid="{00000000-0005-0000-0000-0000F3090000}"/>
    <cellStyle name="Normal 15 4 4 2" xfId="2548" xr:uid="{00000000-0005-0000-0000-0000F4090000}"/>
    <cellStyle name="Normal 15 4 5" xfId="2549" xr:uid="{00000000-0005-0000-0000-0000F5090000}"/>
    <cellStyle name="Normal 15 4 6" xfId="2550" xr:uid="{00000000-0005-0000-0000-0000F6090000}"/>
    <cellStyle name="Normal 15 5" xfId="2551" xr:uid="{00000000-0005-0000-0000-0000F7090000}"/>
    <cellStyle name="Normal 15 5 2" xfId="2552" xr:uid="{00000000-0005-0000-0000-0000F8090000}"/>
    <cellStyle name="Normal 15 5 2 2" xfId="2553" xr:uid="{00000000-0005-0000-0000-0000F9090000}"/>
    <cellStyle name="Normal 15 5 2 3" xfId="2554" xr:uid="{00000000-0005-0000-0000-0000FA090000}"/>
    <cellStyle name="Normal 15 5 3" xfId="2555" xr:uid="{00000000-0005-0000-0000-0000FB090000}"/>
    <cellStyle name="Normal 15 5 3 2" xfId="2556" xr:uid="{00000000-0005-0000-0000-0000FC090000}"/>
    <cellStyle name="Normal 15 5 4" xfId="2557" xr:uid="{00000000-0005-0000-0000-0000FD090000}"/>
    <cellStyle name="Normal 15 5 5" xfId="2558" xr:uid="{00000000-0005-0000-0000-0000FE090000}"/>
    <cellStyle name="Normal 15 6" xfId="2559" xr:uid="{00000000-0005-0000-0000-0000FF090000}"/>
    <cellStyle name="Normal 15 6 2" xfId="2560" xr:uid="{00000000-0005-0000-0000-0000000A0000}"/>
    <cellStyle name="Normal 15 6 2 2" xfId="2561" xr:uid="{00000000-0005-0000-0000-0000010A0000}"/>
    <cellStyle name="Normal 15 6 2 3" xfId="2562" xr:uid="{00000000-0005-0000-0000-0000020A0000}"/>
    <cellStyle name="Normal 15 6 3" xfId="2563" xr:uid="{00000000-0005-0000-0000-0000030A0000}"/>
    <cellStyle name="Normal 15 6 3 2" xfId="2564" xr:uid="{00000000-0005-0000-0000-0000040A0000}"/>
    <cellStyle name="Normal 15 6 4" xfId="2565" xr:uid="{00000000-0005-0000-0000-0000050A0000}"/>
    <cellStyle name="Normal 15 6 5" xfId="2566" xr:uid="{00000000-0005-0000-0000-0000060A0000}"/>
    <cellStyle name="Normal 15 7" xfId="2567" xr:uid="{00000000-0005-0000-0000-0000070A0000}"/>
    <cellStyle name="Normal 15 7 2" xfId="2568" xr:uid="{00000000-0005-0000-0000-0000080A0000}"/>
    <cellStyle name="Normal 15 7 3" xfId="2569" xr:uid="{00000000-0005-0000-0000-0000090A0000}"/>
    <cellStyle name="Normal 15 8" xfId="2570" xr:uid="{00000000-0005-0000-0000-00000A0A0000}"/>
    <cellStyle name="Normal 15 8 2" xfId="2571" xr:uid="{00000000-0005-0000-0000-00000B0A0000}"/>
    <cellStyle name="Normal 15 8 3" xfId="2572" xr:uid="{00000000-0005-0000-0000-00000C0A0000}"/>
    <cellStyle name="Normal 15 9" xfId="2573" xr:uid="{00000000-0005-0000-0000-00000D0A0000}"/>
    <cellStyle name="Normal 15 9 2" xfId="2574" xr:uid="{00000000-0005-0000-0000-00000E0A0000}"/>
    <cellStyle name="Normal 16" xfId="2575" xr:uid="{00000000-0005-0000-0000-00000F0A0000}"/>
    <cellStyle name="Normal 16 10" xfId="2576" xr:uid="{00000000-0005-0000-0000-0000100A0000}"/>
    <cellStyle name="Normal 16 11" xfId="2577" xr:uid="{00000000-0005-0000-0000-0000110A0000}"/>
    <cellStyle name="Normal 16 2" xfId="2578" xr:uid="{00000000-0005-0000-0000-0000120A0000}"/>
    <cellStyle name="Normal 16 3" xfId="2579" xr:uid="{00000000-0005-0000-0000-0000130A0000}"/>
    <cellStyle name="Normal 16 3 2" xfId="2580" xr:uid="{00000000-0005-0000-0000-0000140A0000}"/>
    <cellStyle name="Normal 16 3 2 2" xfId="2581" xr:uid="{00000000-0005-0000-0000-0000150A0000}"/>
    <cellStyle name="Normal 16 3 2 2 2" xfId="2582" xr:uid="{00000000-0005-0000-0000-0000160A0000}"/>
    <cellStyle name="Normal 16 3 2 2 2 2" xfId="2583" xr:uid="{00000000-0005-0000-0000-0000170A0000}"/>
    <cellStyle name="Normal 16 3 2 2 2 3" xfId="2584" xr:uid="{00000000-0005-0000-0000-0000180A0000}"/>
    <cellStyle name="Normal 16 3 2 2 3" xfId="2585" xr:uid="{00000000-0005-0000-0000-0000190A0000}"/>
    <cellStyle name="Normal 16 3 2 2 3 2" xfId="2586" xr:uid="{00000000-0005-0000-0000-00001A0A0000}"/>
    <cellStyle name="Normal 16 3 2 2 4" xfId="2587" xr:uid="{00000000-0005-0000-0000-00001B0A0000}"/>
    <cellStyle name="Normal 16 3 2 2 5" xfId="2588" xr:uid="{00000000-0005-0000-0000-00001C0A0000}"/>
    <cellStyle name="Normal 16 3 2 3" xfId="2589" xr:uid="{00000000-0005-0000-0000-00001D0A0000}"/>
    <cellStyle name="Normal 16 3 2 3 2" xfId="2590" xr:uid="{00000000-0005-0000-0000-00001E0A0000}"/>
    <cellStyle name="Normal 16 3 2 3 3" xfId="2591" xr:uid="{00000000-0005-0000-0000-00001F0A0000}"/>
    <cellStyle name="Normal 16 3 2 4" xfId="2592" xr:uid="{00000000-0005-0000-0000-0000200A0000}"/>
    <cellStyle name="Normal 16 3 2 4 2" xfId="2593" xr:uid="{00000000-0005-0000-0000-0000210A0000}"/>
    <cellStyle name="Normal 16 3 2 5" xfId="2594" xr:uid="{00000000-0005-0000-0000-0000220A0000}"/>
    <cellStyle name="Normal 16 3 2 6" xfId="2595" xr:uid="{00000000-0005-0000-0000-0000230A0000}"/>
    <cellStyle name="Normal 16 3 3" xfId="2596" xr:uid="{00000000-0005-0000-0000-0000240A0000}"/>
    <cellStyle name="Normal 16 3 3 2" xfId="2597" xr:uid="{00000000-0005-0000-0000-0000250A0000}"/>
    <cellStyle name="Normal 16 3 3 2 2" xfId="2598" xr:uid="{00000000-0005-0000-0000-0000260A0000}"/>
    <cellStyle name="Normal 16 3 3 2 3" xfId="2599" xr:uid="{00000000-0005-0000-0000-0000270A0000}"/>
    <cellStyle name="Normal 16 3 3 3" xfId="2600" xr:uid="{00000000-0005-0000-0000-0000280A0000}"/>
    <cellStyle name="Normal 16 3 3 3 2" xfId="2601" xr:uid="{00000000-0005-0000-0000-0000290A0000}"/>
    <cellStyle name="Normal 16 3 3 4" xfId="2602" xr:uid="{00000000-0005-0000-0000-00002A0A0000}"/>
    <cellStyle name="Normal 16 3 3 5" xfId="2603" xr:uid="{00000000-0005-0000-0000-00002B0A0000}"/>
    <cellStyle name="Normal 16 3 4" xfId="2604" xr:uid="{00000000-0005-0000-0000-00002C0A0000}"/>
    <cellStyle name="Normal 16 3 4 2" xfId="2605" xr:uid="{00000000-0005-0000-0000-00002D0A0000}"/>
    <cellStyle name="Normal 16 3 4 3" xfId="2606" xr:uid="{00000000-0005-0000-0000-00002E0A0000}"/>
    <cellStyle name="Normal 16 3 5" xfId="2607" xr:uid="{00000000-0005-0000-0000-00002F0A0000}"/>
    <cellStyle name="Normal 16 3 5 2" xfId="2608" xr:uid="{00000000-0005-0000-0000-0000300A0000}"/>
    <cellStyle name="Normal 16 3 5 3" xfId="2609" xr:uid="{00000000-0005-0000-0000-0000310A0000}"/>
    <cellStyle name="Normal 16 3 6" xfId="2610" xr:uid="{00000000-0005-0000-0000-0000320A0000}"/>
    <cellStyle name="Normal 16 3 6 2" xfId="2611" xr:uid="{00000000-0005-0000-0000-0000330A0000}"/>
    <cellStyle name="Normal 16 3 7" xfId="2612" xr:uid="{00000000-0005-0000-0000-0000340A0000}"/>
    <cellStyle name="Normal 16 3 8" xfId="2613" xr:uid="{00000000-0005-0000-0000-0000350A0000}"/>
    <cellStyle name="Normal 16 4" xfId="2614" xr:uid="{00000000-0005-0000-0000-0000360A0000}"/>
    <cellStyle name="Normal 16 4 2" xfId="2615" xr:uid="{00000000-0005-0000-0000-0000370A0000}"/>
    <cellStyle name="Normal 16 4 2 2" xfId="2616" xr:uid="{00000000-0005-0000-0000-0000380A0000}"/>
    <cellStyle name="Normal 16 4 2 2 2" xfId="2617" xr:uid="{00000000-0005-0000-0000-0000390A0000}"/>
    <cellStyle name="Normal 16 4 2 2 3" xfId="2618" xr:uid="{00000000-0005-0000-0000-00003A0A0000}"/>
    <cellStyle name="Normal 16 4 2 3" xfId="2619" xr:uid="{00000000-0005-0000-0000-00003B0A0000}"/>
    <cellStyle name="Normal 16 4 2 3 2" xfId="2620" xr:uid="{00000000-0005-0000-0000-00003C0A0000}"/>
    <cellStyle name="Normal 16 4 2 4" xfId="2621" xr:uid="{00000000-0005-0000-0000-00003D0A0000}"/>
    <cellStyle name="Normal 16 4 2 5" xfId="2622" xr:uid="{00000000-0005-0000-0000-00003E0A0000}"/>
    <cellStyle name="Normal 16 4 3" xfId="2623" xr:uid="{00000000-0005-0000-0000-00003F0A0000}"/>
    <cellStyle name="Normal 16 4 3 2" xfId="2624" xr:uid="{00000000-0005-0000-0000-0000400A0000}"/>
    <cellStyle name="Normal 16 4 3 3" xfId="2625" xr:uid="{00000000-0005-0000-0000-0000410A0000}"/>
    <cellStyle name="Normal 16 4 4" xfId="2626" xr:uid="{00000000-0005-0000-0000-0000420A0000}"/>
    <cellStyle name="Normal 16 4 4 2" xfId="2627" xr:uid="{00000000-0005-0000-0000-0000430A0000}"/>
    <cellStyle name="Normal 16 4 5" xfId="2628" xr:uid="{00000000-0005-0000-0000-0000440A0000}"/>
    <cellStyle name="Normal 16 4 6" xfId="2629" xr:uid="{00000000-0005-0000-0000-0000450A0000}"/>
    <cellStyle name="Normal 16 5" xfId="2630" xr:uid="{00000000-0005-0000-0000-0000460A0000}"/>
    <cellStyle name="Normal 16 5 2" xfId="2631" xr:uid="{00000000-0005-0000-0000-0000470A0000}"/>
    <cellStyle name="Normal 16 5 2 2" xfId="2632" xr:uid="{00000000-0005-0000-0000-0000480A0000}"/>
    <cellStyle name="Normal 16 5 2 3" xfId="2633" xr:uid="{00000000-0005-0000-0000-0000490A0000}"/>
    <cellStyle name="Normal 16 5 3" xfId="2634" xr:uid="{00000000-0005-0000-0000-00004A0A0000}"/>
    <cellStyle name="Normal 16 5 3 2" xfId="2635" xr:uid="{00000000-0005-0000-0000-00004B0A0000}"/>
    <cellStyle name="Normal 16 5 4" xfId="2636" xr:uid="{00000000-0005-0000-0000-00004C0A0000}"/>
    <cellStyle name="Normal 16 5 5" xfId="2637" xr:uid="{00000000-0005-0000-0000-00004D0A0000}"/>
    <cellStyle name="Normal 16 6" xfId="2638" xr:uid="{00000000-0005-0000-0000-00004E0A0000}"/>
    <cellStyle name="Normal 16 6 2" xfId="2639" xr:uid="{00000000-0005-0000-0000-00004F0A0000}"/>
    <cellStyle name="Normal 16 6 2 2" xfId="2640" xr:uid="{00000000-0005-0000-0000-0000500A0000}"/>
    <cellStyle name="Normal 16 6 2 3" xfId="2641" xr:uid="{00000000-0005-0000-0000-0000510A0000}"/>
    <cellStyle name="Normal 16 6 3" xfId="2642" xr:uid="{00000000-0005-0000-0000-0000520A0000}"/>
    <cellStyle name="Normal 16 6 3 2" xfId="2643" xr:uid="{00000000-0005-0000-0000-0000530A0000}"/>
    <cellStyle name="Normal 16 6 4" xfId="2644" xr:uid="{00000000-0005-0000-0000-0000540A0000}"/>
    <cellStyle name="Normal 16 6 5" xfId="2645" xr:uid="{00000000-0005-0000-0000-0000550A0000}"/>
    <cellStyle name="Normal 16 7" xfId="2646" xr:uid="{00000000-0005-0000-0000-0000560A0000}"/>
    <cellStyle name="Normal 16 7 2" xfId="2647" xr:uid="{00000000-0005-0000-0000-0000570A0000}"/>
    <cellStyle name="Normal 16 7 3" xfId="2648" xr:uid="{00000000-0005-0000-0000-0000580A0000}"/>
    <cellStyle name="Normal 16 8" xfId="2649" xr:uid="{00000000-0005-0000-0000-0000590A0000}"/>
    <cellStyle name="Normal 16 8 2" xfId="2650" xr:uid="{00000000-0005-0000-0000-00005A0A0000}"/>
    <cellStyle name="Normal 16 8 3" xfId="2651" xr:uid="{00000000-0005-0000-0000-00005B0A0000}"/>
    <cellStyle name="Normal 16 9" xfId="2652" xr:uid="{00000000-0005-0000-0000-00005C0A0000}"/>
    <cellStyle name="Normal 16 9 2" xfId="2653" xr:uid="{00000000-0005-0000-0000-00005D0A0000}"/>
    <cellStyle name="Normal 17" xfId="2654" xr:uid="{00000000-0005-0000-0000-00005E0A0000}"/>
    <cellStyle name="Normal 18" xfId="2655" xr:uid="{00000000-0005-0000-0000-00005F0A0000}"/>
    <cellStyle name="Normal 18 2" xfId="2656" xr:uid="{00000000-0005-0000-0000-0000600A0000}"/>
    <cellStyle name="Normal 18 2 2" xfId="2657" xr:uid="{00000000-0005-0000-0000-0000610A0000}"/>
    <cellStyle name="Normal 18 2 2 2" xfId="2658" xr:uid="{00000000-0005-0000-0000-0000620A0000}"/>
    <cellStyle name="Normal 18 2 2 2 2" xfId="2659" xr:uid="{00000000-0005-0000-0000-0000630A0000}"/>
    <cellStyle name="Normal 18 2 2 2 3" xfId="2660" xr:uid="{00000000-0005-0000-0000-0000640A0000}"/>
    <cellStyle name="Normal 18 2 2 3" xfId="2661" xr:uid="{00000000-0005-0000-0000-0000650A0000}"/>
    <cellStyle name="Normal 18 2 2 3 2" xfId="2662" xr:uid="{00000000-0005-0000-0000-0000660A0000}"/>
    <cellStyle name="Normal 18 2 2 4" xfId="2663" xr:uid="{00000000-0005-0000-0000-0000670A0000}"/>
    <cellStyle name="Normal 18 2 2 5" xfId="2664" xr:uid="{00000000-0005-0000-0000-0000680A0000}"/>
    <cellStyle name="Normal 18 2 3" xfId="2665" xr:uid="{00000000-0005-0000-0000-0000690A0000}"/>
    <cellStyle name="Normal 18 2 3 2" xfId="2666" xr:uid="{00000000-0005-0000-0000-00006A0A0000}"/>
    <cellStyle name="Normal 18 2 3 3" xfId="2667" xr:uid="{00000000-0005-0000-0000-00006B0A0000}"/>
    <cellStyle name="Normal 18 2 4" xfId="2668" xr:uid="{00000000-0005-0000-0000-00006C0A0000}"/>
    <cellStyle name="Normal 18 2 4 2" xfId="2669" xr:uid="{00000000-0005-0000-0000-00006D0A0000}"/>
    <cellStyle name="Normal 18 2 5" xfId="2670" xr:uid="{00000000-0005-0000-0000-00006E0A0000}"/>
    <cellStyle name="Normal 18 2 6" xfId="2671" xr:uid="{00000000-0005-0000-0000-00006F0A0000}"/>
    <cellStyle name="Normal 18 3" xfId="2672" xr:uid="{00000000-0005-0000-0000-0000700A0000}"/>
    <cellStyle name="Normal 18 3 2" xfId="2673" xr:uid="{00000000-0005-0000-0000-0000710A0000}"/>
    <cellStyle name="Normal 18 3 2 2" xfId="2674" xr:uid="{00000000-0005-0000-0000-0000720A0000}"/>
    <cellStyle name="Normal 18 3 2 3" xfId="2675" xr:uid="{00000000-0005-0000-0000-0000730A0000}"/>
    <cellStyle name="Normal 18 3 3" xfId="2676" xr:uid="{00000000-0005-0000-0000-0000740A0000}"/>
    <cellStyle name="Normal 18 3 3 2" xfId="2677" xr:uid="{00000000-0005-0000-0000-0000750A0000}"/>
    <cellStyle name="Normal 18 3 4" xfId="2678" xr:uid="{00000000-0005-0000-0000-0000760A0000}"/>
    <cellStyle name="Normal 18 3 5" xfId="2679" xr:uid="{00000000-0005-0000-0000-0000770A0000}"/>
    <cellStyle name="Normal 18 4" xfId="2680" xr:uid="{00000000-0005-0000-0000-0000780A0000}"/>
    <cellStyle name="Normal 18 4 2" xfId="2681" xr:uid="{00000000-0005-0000-0000-0000790A0000}"/>
    <cellStyle name="Normal 18 4 3" xfId="2682" xr:uid="{00000000-0005-0000-0000-00007A0A0000}"/>
    <cellStyle name="Normal 18 5" xfId="2683" xr:uid="{00000000-0005-0000-0000-00007B0A0000}"/>
    <cellStyle name="Normal 18 5 2" xfId="2684" xr:uid="{00000000-0005-0000-0000-00007C0A0000}"/>
    <cellStyle name="Normal 18 5 3" xfId="2685" xr:uid="{00000000-0005-0000-0000-00007D0A0000}"/>
    <cellStyle name="Normal 18 6" xfId="2686" xr:uid="{00000000-0005-0000-0000-00007E0A0000}"/>
    <cellStyle name="Normal 18 6 2" xfId="2687" xr:uid="{00000000-0005-0000-0000-00007F0A0000}"/>
    <cellStyle name="Normal 18 7" xfId="2688" xr:uid="{00000000-0005-0000-0000-0000800A0000}"/>
    <cellStyle name="Normal 18 8" xfId="2689" xr:uid="{00000000-0005-0000-0000-0000810A0000}"/>
    <cellStyle name="Normal 19" xfId="2690" xr:uid="{00000000-0005-0000-0000-0000820A0000}"/>
    <cellStyle name="Normal 2" xfId="2691" xr:uid="{00000000-0005-0000-0000-0000830A0000}"/>
    <cellStyle name="Normal 2 2" xfId="2692" xr:uid="{00000000-0005-0000-0000-0000840A0000}"/>
    <cellStyle name="Normal 2 2 2" xfId="2693" xr:uid="{00000000-0005-0000-0000-0000850A0000}"/>
    <cellStyle name="Normal 2 2 3" xfId="2694" xr:uid="{00000000-0005-0000-0000-0000860A0000}"/>
    <cellStyle name="Normal 2 2 4" xfId="2695" xr:uid="{00000000-0005-0000-0000-0000870A0000}"/>
    <cellStyle name="Normal 2 2 5" xfId="2696" xr:uid="{00000000-0005-0000-0000-0000880A0000}"/>
    <cellStyle name="Normal 2 3" xfId="2697" xr:uid="{00000000-0005-0000-0000-0000890A0000}"/>
    <cellStyle name="Normal 2 4" xfId="2698" xr:uid="{00000000-0005-0000-0000-00008A0A0000}"/>
    <cellStyle name="Normal 2 5" xfId="2699" xr:uid="{00000000-0005-0000-0000-00008B0A0000}"/>
    <cellStyle name="Normal 2 6" xfId="2700" xr:uid="{00000000-0005-0000-0000-00008C0A0000}"/>
    <cellStyle name="Normal 20" xfId="2701" xr:uid="{00000000-0005-0000-0000-00008D0A0000}"/>
    <cellStyle name="Normal 20 2" xfId="2702" xr:uid="{00000000-0005-0000-0000-00008E0A0000}"/>
    <cellStyle name="Normal 20 2 2" xfId="2703" xr:uid="{00000000-0005-0000-0000-00008F0A0000}"/>
    <cellStyle name="Normal 20 2 3" xfId="2704" xr:uid="{00000000-0005-0000-0000-0000900A0000}"/>
    <cellStyle name="Normal 20 3" xfId="2705" xr:uid="{00000000-0005-0000-0000-0000910A0000}"/>
    <cellStyle name="Normal 20 3 2" xfId="2706" xr:uid="{00000000-0005-0000-0000-0000920A0000}"/>
    <cellStyle name="Normal 20 4" xfId="2707" xr:uid="{00000000-0005-0000-0000-0000930A0000}"/>
    <cellStyle name="Normal 20 5" xfId="2708" xr:uid="{00000000-0005-0000-0000-0000940A0000}"/>
    <cellStyle name="Normal 21" xfId="2709" xr:uid="{00000000-0005-0000-0000-0000950A0000}"/>
    <cellStyle name="Normal 22" xfId="2710" xr:uid="{00000000-0005-0000-0000-0000960A0000}"/>
    <cellStyle name="Normal 22 2" xfId="2711" xr:uid="{00000000-0005-0000-0000-0000970A0000}"/>
    <cellStyle name="Normal 22 3" xfId="2712" xr:uid="{00000000-0005-0000-0000-0000980A0000}"/>
    <cellStyle name="Normal 23" xfId="2713" xr:uid="{00000000-0005-0000-0000-0000990A0000}"/>
    <cellStyle name="Normal 24" xfId="2714" xr:uid="{00000000-0005-0000-0000-00009A0A0000}"/>
    <cellStyle name="Normal 25" xfId="2715" xr:uid="{00000000-0005-0000-0000-00009B0A0000}"/>
    <cellStyle name="Normal 26" xfId="2716" xr:uid="{00000000-0005-0000-0000-00009C0A0000}"/>
    <cellStyle name="Normal 26 2" xfId="2717" xr:uid="{00000000-0005-0000-0000-00009D0A0000}"/>
    <cellStyle name="Normal 26 3" xfId="2718" xr:uid="{00000000-0005-0000-0000-00009E0A0000}"/>
    <cellStyle name="Normal 26 3 2" xfId="2719" xr:uid="{00000000-0005-0000-0000-00009F0A0000}"/>
    <cellStyle name="Normal 27" xfId="2720" xr:uid="{00000000-0005-0000-0000-0000A00A0000}"/>
    <cellStyle name="Normal 28" xfId="2721" xr:uid="{00000000-0005-0000-0000-0000A10A0000}"/>
    <cellStyle name="Normal 28 2" xfId="2722" xr:uid="{00000000-0005-0000-0000-0000A20A0000}"/>
    <cellStyle name="Normal 29" xfId="2723" xr:uid="{00000000-0005-0000-0000-0000A30A0000}"/>
    <cellStyle name="Normal 3" xfId="2724" xr:uid="{00000000-0005-0000-0000-0000A40A0000}"/>
    <cellStyle name="Normal 3 2" xfId="2725" xr:uid="{00000000-0005-0000-0000-0000A50A0000}"/>
    <cellStyle name="Normal 3 2 2" xfId="2726" xr:uid="{00000000-0005-0000-0000-0000A60A0000}"/>
    <cellStyle name="Normal 3 2 3" xfId="2727" xr:uid="{00000000-0005-0000-0000-0000A70A0000}"/>
    <cellStyle name="Normal 3 2 4" xfId="2728" xr:uid="{00000000-0005-0000-0000-0000A80A0000}"/>
    <cellStyle name="Normal 3 2 5" xfId="2729" xr:uid="{00000000-0005-0000-0000-0000A90A0000}"/>
    <cellStyle name="Normal 3 2 6" xfId="2730" xr:uid="{00000000-0005-0000-0000-0000AA0A0000}"/>
    <cellStyle name="Normal 3 2 7" xfId="2731" xr:uid="{00000000-0005-0000-0000-0000AB0A0000}"/>
    <cellStyle name="Normal 3 3" xfId="2732" xr:uid="{00000000-0005-0000-0000-0000AC0A0000}"/>
    <cellStyle name="Normal 3 3 2" xfId="2733" xr:uid="{00000000-0005-0000-0000-0000AD0A0000}"/>
    <cellStyle name="Normal 3 3 3" xfId="2734" xr:uid="{00000000-0005-0000-0000-0000AE0A0000}"/>
    <cellStyle name="Normal 3 3 4" xfId="2735" xr:uid="{00000000-0005-0000-0000-0000AF0A0000}"/>
    <cellStyle name="Normal 3 3 5" xfId="2736" xr:uid="{00000000-0005-0000-0000-0000B00A0000}"/>
    <cellStyle name="Normal 3 3 6" xfId="2737" xr:uid="{00000000-0005-0000-0000-0000B10A0000}"/>
    <cellStyle name="Normal 3 4" xfId="2738" xr:uid="{00000000-0005-0000-0000-0000B20A0000}"/>
    <cellStyle name="Normal 3 4 2" xfId="2739" xr:uid="{00000000-0005-0000-0000-0000B30A0000}"/>
    <cellStyle name="Normal 3 4 3" xfId="2740" xr:uid="{00000000-0005-0000-0000-0000B40A0000}"/>
    <cellStyle name="Normal 3 5" xfId="2741" xr:uid="{00000000-0005-0000-0000-0000B50A0000}"/>
    <cellStyle name="Normal 3 5 2" xfId="2742" xr:uid="{00000000-0005-0000-0000-0000B60A0000}"/>
    <cellStyle name="Normal 3 6" xfId="2743" xr:uid="{00000000-0005-0000-0000-0000B70A0000}"/>
    <cellStyle name="Normal 3 7" xfId="2744" xr:uid="{00000000-0005-0000-0000-0000B80A0000}"/>
    <cellStyle name="Normal 30" xfId="2745" xr:uid="{00000000-0005-0000-0000-0000B90A0000}"/>
    <cellStyle name="Normal 31" xfId="2746" xr:uid="{00000000-0005-0000-0000-0000BA0A0000}"/>
    <cellStyle name="Normal 32" xfId="2747" xr:uid="{00000000-0005-0000-0000-0000BB0A0000}"/>
    <cellStyle name="Normal 33" xfId="2748" xr:uid="{00000000-0005-0000-0000-0000BC0A0000}"/>
    <cellStyle name="Normal 4" xfId="2749" xr:uid="{00000000-0005-0000-0000-0000BD0A0000}"/>
    <cellStyle name="Normal 4 2" xfId="2750" xr:uid="{00000000-0005-0000-0000-0000BE0A0000}"/>
    <cellStyle name="Normal 4 2 2" xfId="2751" xr:uid="{00000000-0005-0000-0000-0000BF0A0000}"/>
    <cellStyle name="Normal 4 2 2 2" xfId="2752" xr:uid="{00000000-0005-0000-0000-0000C00A0000}"/>
    <cellStyle name="Normal 4 2 2 3" xfId="2753" xr:uid="{00000000-0005-0000-0000-0000C10A0000}"/>
    <cellStyle name="Normal 4 2 3" xfId="2754" xr:uid="{00000000-0005-0000-0000-0000C20A0000}"/>
    <cellStyle name="Normal 4 3" xfId="2755" xr:uid="{00000000-0005-0000-0000-0000C30A0000}"/>
    <cellStyle name="Normal 4 3 2" xfId="2756" xr:uid="{00000000-0005-0000-0000-0000C40A0000}"/>
    <cellStyle name="Normal 4 3 3" xfId="2757" xr:uid="{00000000-0005-0000-0000-0000C50A0000}"/>
    <cellStyle name="Normal 4 4" xfId="2758" xr:uid="{00000000-0005-0000-0000-0000C60A0000}"/>
    <cellStyle name="Normal 4 5" xfId="2759" xr:uid="{00000000-0005-0000-0000-0000C70A0000}"/>
    <cellStyle name="Normal 4 6" xfId="2760" xr:uid="{00000000-0005-0000-0000-0000C80A0000}"/>
    <cellStyle name="Normal 4 7" xfId="2761" xr:uid="{00000000-0005-0000-0000-0000C90A0000}"/>
    <cellStyle name="Normal 4 8" xfId="2762" xr:uid="{00000000-0005-0000-0000-0000CA0A0000}"/>
    <cellStyle name="Normal 5" xfId="2763" xr:uid="{00000000-0005-0000-0000-0000CB0A0000}"/>
    <cellStyle name="Normal 5 2" xfId="2764" xr:uid="{00000000-0005-0000-0000-0000CC0A0000}"/>
    <cellStyle name="Normal 5 3" xfId="2765" xr:uid="{00000000-0005-0000-0000-0000CD0A0000}"/>
    <cellStyle name="Normal 5 4" xfId="2766" xr:uid="{00000000-0005-0000-0000-0000CE0A0000}"/>
    <cellStyle name="Normal 5 5" xfId="2767" xr:uid="{00000000-0005-0000-0000-0000CF0A0000}"/>
    <cellStyle name="Normal 6" xfId="2768" xr:uid="{00000000-0005-0000-0000-0000D00A0000}"/>
    <cellStyle name="Normal 6 2" xfId="2769" xr:uid="{00000000-0005-0000-0000-0000D10A0000}"/>
    <cellStyle name="Normal 6 2 2" xfId="2770" xr:uid="{00000000-0005-0000-0000-0000D20A0000}"/>
    <cellStyle name="Normal 6 2 3" xfId="2771" xr:uid="{00000000-0005-0000-0000-0000D30A0000}"/>
    <cellStyle name="Normal 6 2 4" xfId="2772" xr:uid="{00000000-0005-0000-0000-0000D40A0000}"/>
    <cellStyle name="Normal 6 3" xfId="2773" xr:uid="{00000000-0005-0000-0000-0000D50A0000}"/>
    <cellStyle name="Normal 6 4" xfId="2774" xr:uid="{00000000-0005-0000-0000-0000D60A0000}"/>
    <cellStyle name="Normal 6 5" xfId="2775" xr:uid="{00000000-0005-0000-0000-0000D70A0000}"/>
    <cellStyle name="Normal 6 6" xfId="3127" xr:uid="{00000000-0005-0000-0000-0000D80A0000}"/>
    <cellStyle name="Normal 7" xfId="2776" xr:uid="{00000000-0005-0000-0000-0000D90A0000}"/>
    <cellStyle name="Normal 7 2" xfId="2777" xr:uid="{00000000-0005-0000-0000-0000DA0A0000}"/>
    <cellStyle name="Normal 7 2 2" xfId="2778" xr:uid="{00000000-0005-0000-0000-0000DB0A0000}"/>
    <cellStyle name="Normal 7 2 2 2" xfId="2779" xr:uid="{00000000-0005-0000-0000-0000DC0A0000}"/>
    <cellStyle name="Normal 7 2 2 3" xfId="2780" xr:uid="{00000000-0005-0000-0000-0000DD0A0000}"/>
    <cellStyle name="Normal 7 2 2 4" xfId="2781" xr:uid="{00000000-0005-0000-0000-0000DE0A0000}"/>
    <cellStyle name="Normal 7 2 2 5" xfId="2782" xr:uid="{00000000-0005-0000-0000-0000DF0A0000}"/>
    <cellStyle name="Normal 7 2 3" xfId="2783" xr:uid="{00000000-0005-0000-0000-0000E00A0000}"/>
    <cellStyle name="Normal 7 2 3 2" xfId="2784" xr:uid="{00000000-0005-0000-0000-0000E10A0000}"/>
    <cellStyle name="Normal 7 2 3 3" xfId="2785" xr:uid="{00000000-0005-0000-0000-0000E20A0000}"/>
    <cellStyle name="Normal 7 2 3 4" xfId="2786" xr:uid="{00000000-0005-0000-0000-0000E30A0000}"/>
    <cellStyle name="Normal 7 2 4" xfId="2787" xr:uid="{00000000-0005-0000-0000-0000E40A0000}"/>
    <cellStyle name="Normal 7 2 4 2" xfId="2788" xr:uid="{00000000-0005-0000-0000-0000E50A0000}"/>
    <cellStyle name="Normal 7 2 4 3" xfId="2789" xr:uid="{00000000-0005-0000-0000-0000E60A0000}"/>
    <cellStyle name="Normal 7 2 4 4" xfId="3128" xr:uid="{00000000-0005-0000-0000-0000E70A0000}"/>
    <cellStyle name="Normal 7 2 5" xfId="2790" xr:uid="{00000000-0005-0000-0000-0000E80A0000}"/>
    <cellStyle name="Normal 7 2 5 2" xfId="2791" xr:uid="{00000000-0005-0000-0000-0000E90A0000}"/>
    <cellStyle name="Normal 7 2 5 3" xfId="2792" xr:uid="{00000000-0005-0000-0000-0000EA0A0000}"/>
    <cellStyle name="Normal 7 2 5 3 2" xfId="2793" xr:uid="{00000000-0005-0000-0000-0000EB0A0000}"/>
    <cellStyle name="Normal 7 2 5 4" xfId="2794" xr:uid="{00000000-0005-0000-0000-0000EC0A0000}"/>
    <cellStyle name="Normal 7 2 5 4 2" xfId="2795" xr:uid="{00000000-0005-0000-0000-0000ED0A0000}"/>
    <cellStyle name="Normal 7 2 5 5" xfId="3129" xr:uid="{00000000-0005-0000-0000-0000EE0A0000}"/>
    <cellStyle name="Normal 7 2 6" xfId="2796" xr:uid="{00000000-0005-0000-0000-0000EF0A0000}"/>
    <cellStyle name="Normal 7 2 7" xfId="2797" xr:uid="{00000000-0005-0000-0000-0000F00A0000}"/>
    <cellStyle name="Normal 7 2 8" xfId="2798" xr:uid="{00000000-0005-0000-0000-0000F10A0000}"/>
    <cellStyle name="Normal 7 3" xfId="2799" xr:uid="{00000000-0005-0000-0000-0000F20A0000}"/>
    <cellStyle name="Normal 7 3 2" xfId="2800" xr:uid="{00000000-0005-0000-0000-0000F30A0000}"/>
    <cellStyle name="Normal 7 3 3" xfId="2801" xr:uid="{00000000-0005-0000-0000-0000F40A0000}"/>
    <cellStyle name="Normal 7 4" xfId="2802" xr:uid="{00000000-0005-0000-0000-0000F50A0000}"/>
    <cellStyle name="Normal 7 4 2" xfId="2803" xr:uid="{00000000-0005-0000-0000-0000F60A0000}"/>
    <cellStyle name="Normal 7 4 2 2" xfId="3130" xr:uid="{00000000-0005-0000-0000-0000F70A0000}"/>
    <cellStyle name="Normal 7 4 3" xfId="2804" xr:uid="{00000000-0005-0000-0000-0000F80A0000}"/>
    <cellStyle name="Normal 7 5" xfId="2805" xr:uid="{00000000-0005-0000-0000-0000F90A0000}"/>
    <cellStyle name="Normal 7 5 2" xfId="2806" xr:uid="{00000000-0005-0000-0000-0000FA0A0000}"/>
    <cellStyle name="Normal 7 5 2 2" xfId="2807" xr:uid="{00000000-0005-0000-0000-0000FB0A0000}"/>
    <cellStyle name="Normal 7 5 3" xfId="2808" xr:uid="{00000000-0005-0000-0000-0000FC0A0000}"/>
    <cellStyle name="Normal 7 5 3 2" xfId="2809" xr:uid="{00000000-0005-0000-0000-0000FD0A0000}"/>
    <cellStyle name="Normal 7 5 4" xfId="3131" xr:uid="{00000000-0005-0000-0000-0000FE0A0000}"/>
    <cellStyle name="Normal 7 6" xfId="2810" xr:uid="{00000000-0005-0000-0000-0000FF0A0000}"/>
    <cellStyle name="Normal 7 7" xfId="2811" xr:uid="{00000000-0005-0000-0000-0000000B0000}"/>
    <cellStyle name="Normal 7 8" xfId="2812" xr:uid="{00000000-0005-0000-0000-0000010B0000}"/>
    <cellStyle name="Normal 7 9" xfId="2813" xr:uid="{00000000-0005-0000-0000-0000020B0000}"/>
    <cellStyle name="Normal 8" xfId="2814" xr:uid="{00000000-0005-0000-0000-0000030B0000}"/>
    <cellStyle name="Normal 8 2" xfId="2815" xr:uid="{00000000-0005-0000-0000-0000040B0000}"/>
    <cellStyle name="Normal 8 2 2" xfId="2816" xr:uid="{00000000-0005-0000-0000-0000050B0000}"/>
    <cellStyle name="Normal 8 2 3" xfId="2817" xr:uid="{00000000-0005-0000-0000-0000060B0000}"/>
    <cellStyle name="Normal 8 2 4" xfId="2818" xr:uid="{00000000-0005-0000-0000-0000070B0000}"/>
    <cellStyle name="Normal 8 2 5" xfId="2819" xr:uid="{00000000-0005-0000-0000-0000080B0000}"/>
    <cellStyle name="Normal 8 2 6" xfId="2820" xr:uid="{00000000-0005-0000-0000-0000090B0000}"/>
    <cellStyle name="Normal 8 3" xfId="2821" xr:uid="{00000000-0005-0000-0000-00000A0B0000}"/>
    <cellStyle name="Normal 8 3 2" xfId="2822" xr:uid="{00000000-0005-0000-0000-00000B0B0000}"/>
    <cellStyle name="Normal 8 3 3" xfId="2823" xr:uid="{00000000-0005-0000-0000-00000C0B0000}"/>
    <cellStyle name="Normal 8 3 4" xfId="2824" xr:uid="{00000000-0005-0000-0000-00000D0B0000}"/>
    <cellStyle name="Normal 8 3 5" xfId="2825" xr:uid="{00000000-0005-0000-0000-00000E0B0000}"/>
    <cellStyle name="Normal 8 4" xfId="2826" xr:uid="{00000000-0005-0000-0000-00000F0B0000}"/>
    <cellStyle name="Normal 8 4 2" xfId="2827" xr:uid="{00000000-0005-0000-0000-0000100B0000}"/>
    <cellStyle name="Normal 8 4 3" xfId="2828" xr:uid="{00000000-0005-0000-0000-0000110B0000}"/>
    <cellStyle name="Normal 8 5" xfId="2829" xr:uid="{00000000-0005-0000-0000-0000120B0000}"/>
    <cellStyle name="Normal 8 5 2" xfId="2830" xr:uid="{00000000-0005-0000-0000-0000130B0000}"/>
    <cellStyle name="Normal 8 5 2 2" xfId="2831" xr:uid="{00000000-0005-0000-0000-0000140B0000}"/>
    <cellStyle name="Normal 8 5 3" xfId="2832" xr:uid="{00000000-0005-0000-0000-0000150B0000}"/>
    <cellStyle name="Normal 8 6" xfId="2833" xr:uid="{00000000-0005-0000-0000-0000160B0000}"/>
    <cellStyle name="Normal 8 6 2" xfId="2834" xr:uid="{00000000-0005-0000-0000-0000170B0000}"/>
    <cellStyle name="Normal 8 6 2 2" xfId="2835" xr:uid="{00000000-0005-0000-0000-0000180B0000}"/>
    <cellStyle name="Normal 8 6 3" xfId="2836" xr:uid="{00000000-0005-0000-0000-0000190B0000}"/>
    <cellStyle name="Normal 8 6 3 2" xfId="2837" xr:uid="{00000000-0005-0000-0000-00001A0B0000}"/>
    <cellStyle name="Normal 8 7" xfId="2838" xr:uid="{00000000-0005-0000-0000-00001B0B0000}"/>
    <cellStyle name="Normal 8 8" xfId="2839" xr:uid="{00000000-0005-0000-0000-00001C0B0000}"/>
    <cellStyle name="Normal 8 9" xfId="2840" xr:uid="{00000000-0005-0000-0000-00001D0B0000}"/>
    <cellStyle name="Normal 9" xfId="2841" xr:uid="{00000000-0005-0000-0000-00001E0B0000}"/>
    <cellStyle name="Normal 9 2" xfId="2842" xr:uid="{00000000-0005-0000-0000-00001F0B0000}"/>
    <cellStyle name="Normal 9 2 2" xfId="2843" xr:uid="{00000000-0005-0000-0000-0000200B0000}"/>
    <cellStyle name="Normal 9 2 3" xfId="2844" xr:uid="{00000000-0005-0000-0000-0000210B0000}"/>
    <cellStyle name="Normal 9 3" xfId="2845" xr:uid="{00000000-0005-0000-0000-0000220B0000}"/>
    <cellStyle name="Normal 9 4" xfId="2846" xr:uid="{00000000-0005-0000-0000-0000230B0000}"/>
    <cellStyle name="Normal 9 4 2" xfId="2847" xr:uid="{00000000-0005-0000-0000-0000240B0000}"/>
    <cellStyle name="Normal 9 5" xfId="2848" xr:uid="{00000000-0005-0000-0000-0000250B0000}"/>
    <cellStyle name="Normal 9 5 2" xfId="2849" xr:uid="{00000000-0005-0000-0000-0000260B0000}"/>
    <cellStyle name="Normal 9 6" xfId="2850" xr:uid="{00000000-0005-0000-0000-0000270B0000}"/>
    <cellStyle name="Normal_Waivers" xfId="2851" xr:uid="{00000000-0005-0000-0000-0000280B0000}"/>
    <cellStyle name="Note" xfId="2852" builtinId="10" customBuiltin="1"/>
    <cellStyle name="Note 10" xfId="2853" xr:uid="{00000000-0005-0000-0000-00002A0B0000}"/>
    <cellStyle name="Note 11" xfId="2854" xr:uid="{00000000-0005-0000-0000-00002B0B0000}"/>
    <cellStyle name="Note 12" xfId="2855" xr:uid="{00000000-0005-0000-0000-00002C0B0000}"/>
    <cellStyle name="Note 13" xfId="2856" xr:uid="{00000000-0005-0000-0000-00002D0B0000}"/>
    <cellStyle name="Note 14" xfId="2857" xr:uid="{00000000-0005-0000-0000-00002E0B0000}"/>
    <cellStyle name="Note 15" xfId="2858" xr:uid="{00000000-0005-0000-0000-00002F0B0000}"/>
    <cellStyle name="Note 2" xfId="2859" xr:uid="{00000000-0005-0000-0000-0000300B0000}"/>
    <cellStyle name="Note 2 2" xfId="2860" xr:uid="{00000000-0005-0000-0000-0000310B0000}"/>
    <cellStyle name="Note 2 2 2" xfId="2861" xr:uid="{00000000-0005-0000-0000-0000320B0000}"/>
    <cellStyle name="Note 2 3" xfId="2862" xr:uid="{00000000-0005-0000-0000-0000330B0000}"/>
    <cellStyle name="Note 2 3 2" xfId="2863" xr:uid="{00000000-0005-0000-0000-0000340B0000}"/>
    <cellStyle name="Note 2 3 2 2" xfId="2864" xr:uid="{00000000-0005-0000-0000-0000350B0000}"/>
    <cellStyle name="Note 2 3 3" xfId="2865" xr:uid="{00000000-0005-0000-0000-0000360B0000}"/>
    <cellStyle name="Note 2 3 4" xfId="2866" xr:uid="{00000000-0005-0000-0000-0000370B0000}"/>
    <cellStyle name="Note 2 3 5" xfId="2867" xr:uid="{00000000-0005-0000-0000-0000380B0000}"/>
    <cellStyle name="Note 2 3 6" xfId="2868" xr:uid="{00000000-0005-0000-0000-0000390B0000}"/>
    <cellStyle name="Note 2 4" xfId="2869" xr:uid="{00000000-0005-0000-0000-00003A0B0000}"/>
    <cellStyle name="Note 2 4 2" xfId="2870" xr:uid="{00000000-0005-0000-0000-00003B0B0000}"/>
    <cellStyle name="Note 2 4 3" xfId="2871" xr:uid="{00000000-0005-0000-0000-00003C0B0000}"/>
    <cellStyle name="Note 2 4 4" xfId="2872" xr:uid="{00000000-0005-0000-0000-00003D0B0000}"/>
    <cellStyle name="Note 2 4 5" xfId="2873" xr:uid="{00000000-0005-0000-0000-00003E0B0000}"/>
    <cellStyle name="Note 2 5" xfId="2874" xr:uid="{00000000-0005-0000-0000-00003F0B0000}"/>
    <cellStyle name="Note 2 5 2" xfId="2875" xr:uid="{00000000-0005-0000-0000-0000400B0000}"/>
    <cellStyle name="Note 2 5 3" xfId="2876" xr:uid="{00000000-0005-0000-0000-0000410B0000}"/>
    <cellStyle name="Note 2 6" xfId="2877" xr:uid="{00000000-0005-0000-0000-0000420B0000}"/>
    <cellStyle name="Note 3" xfId="2878" xr:uid="{00000000-0005-0000-0000-0000430B0000}"/>
    <cellStyle name="Note 3 2" xfId="2879" xr:uid="{00000000-0005-0000-0000-0000440B0000}"/>
    <cellStyle name="Note 3 3" xfId="2880" xr:uid="{00000000-0005-0000-0000-0000450B0000}"/>
    <cellStyle name="Note 3 4" xfId="2881" xr:uid="{00000000-0005-0000-0000-0000460B0000}"/>
    <cellStyle name="Note 3 5" xfId="2882" xr:uid="{00000000-0005-0000-0000-0000470B0000}"/>
    <cellStyle name="Note 4" xfId="2883" xr:uid="{00000000-0005-0000-0000-0000480B0000}"/>
    <cellStyle name="Note 4 2" xfId="2884" xr:uid="{00000000-0005-0000-0000-0000490B0000}"/>
    <cellStyle name="Note 4 2 2" xfId="2885" xr:uid="{00000000-0005-0000-0000-00004A0B0000}"/>
    <cellStyle name="Note 4 2 3" xfId="2886" xr:uid="{00000000-0005-0000-0000-00004B0B0000}"/>
    <cellStyle name="Note 4 2 4" xfId="2887" xr:uid="{00000000-0005-0000-0000-00004C0B0000}"/>
    <cellStyle name="Note 4 3" xfId="2888" xr:uid="{00000000-0005-0000-0000-00004D0B0000}"/>
    <cellStyle name="Note 4 3 2" xfId="2889" xr:uid="{00000000-0005-0000-0000-00004E0B0000}"/>
    <cellStyle name="Note 4 3 3" xfId="2890" xr:uid="{00000000-0005-0000-0000-00004F0B0000}"/>
    <cellStyle name="Note 4 3 4" xfId="2891" xr:uid="{00000000-0005-0000-0000-0000500B0000}"/>
    <cellStyle name="Note 4 4" xfId="2892" xr:uid="{00000000-0005-0000-0000-0000510B0000}"/>
    <cellStyle name="Note 5" xfId="2893" xr:uid="{00000000-0005-0000-0000-0000520B0000}"/>
    <cellStyle name="Note 5 2" xfId="2894" xr:uid="{00000000-0005-0000-0000-0000530B0000}"/>
    <cellStyle name="Note 5 2 2" xfId="2895" xr:uid="{00000000-0005-0000-0000-0000540B0000}"/>
    <cellStyle name="Note 5 2 3" xfId="2896" xr:uid="{00000000-0005-0000-0000-0000550B0000}"/>
    <cellStyle name="Note 5 3" xfId="2897" xr:uid="{00000000-0005-0000-0000-0000560B0000}"/>
    <cellStyle name="Note 5 3 2" xfId="2898" xr:uid="{00000000-0005-0000-0000-0000570B0000}"/>
    <cellStyle name="Note 5 3 3" xfId="2899" xr:uid="{00000000-0005-0000-0000-0000580B0000}"/>
    <cellStyle name="Note 5 4" xfId="2900" xr:uid="{00000000-0005-0000-0000-0000590B0000}"/>
    <cellStyle name="Note 5 4 2" xfId="2901" xr:uid="{00000000-0005-0000-0000-00005A0B0000}"/>
    <cellStyle name="Note 5 4 2 2" xfId="2902" xr:uid="{00000000-0005-0000-0000-00005B0B0000}"/>
    <cellStyle name="Note 5 4 3" xfId="2903" xr:uid="{00000000-0005-0000-0000-00005C0B0000}"/>
    <cellStyle name="Note 5 4 3 2" xfId="2904" xr:uid="{00000000-0005-0000-0000-00005D0B0000}"/>
    <cellStyle name="Note 6" xfId="2905" xr:uid="{00000000-0005-0000-0000-00005E0B0000}"/>
    <cellStyle name="Note 6 2" xfId="2906" xr:uid="{00000000-0005-0000-0000-00005F0B0000}"/>
    <cellStyle name="Note 6 3" xfId="2907" xr:uid="{00000000-0005-0000-0000-0000600B0000}"/>
    <cellStyle name="Note 6 4" xfId="2908" xr:uid="{00000000-0005-0000-0000-0000610B0000}"/>
    <cellStyle name="Note 7" xfId="2909" xr:uid="{00000000-0005-0000-0000-0000620B0000}"/>
    <cellStyle name="Note 7 2" xfId="2910" xr:uid="{00000000-0005-0000-0000-0000630B0000}"/>
    <cellStyle name="Note 7 3" xfId="2911" xr:uid="{00000000-0005-0000-0000-0000640B0000}"/>
    <cellStyle name="Note 8" xfId="2912" xr:uid="{00000000-0005-0000-0000-0000650B0000}"/>
    <cellStyle name="Note 8 2" xfId="2913" xr:uid="{00000000-0005-0000-0000-0000660B0000}"/>
    <cellStyle name="Note 9" xfId="2914" xr:uid="{00000000-0005-0000-0000-0000670B0000}"/>
    <cellStyle name="Note 9 2" xfId="2915" xr:uid="{00000000-0005-0000-0000-0000680B0000}"/>
    <cellStyle name="Note 9 3" xfId="2916" xr:uid="{00000000-0005-0000-0000-0000690B0000}"/>
    <cellStyle name="Note 9 3 2" xfId="2917" xr:uid="{00000000-0005-0000-0000-00006A0B0000}"/>
    <cellStyle name="Note 9 4" xfId="2918" xr:uid="{00000000-0005-0000-0000-00006B0B0000}"/>
    <cellStyle name="Note 9 4 2" xfId="2919" xr:uid="{00000000-0005-0000-0000-00006C0B0000}"/>
    <cellStyle name="Output" xfId="2920" builtinId="21" customBuiltin="1"/>
    <cellStyle name="Output 10" xfId="2921" xr:uid="{00000000-0005-0000-0000-00006E0B0000}"/>
    <cellStyle name="Output 10 2" xfId="2922" xr:uid="{00000000-0005-0000-0000-00006F0B0000}"/>
    <cellStyle name="Output 10 3" xfId="2923" xr:uid="{00000000-0005-0000-0000-0000700B0000}"/>
    <cellStyle name="Output 11" xfId="2924" xr:uid="{00000000-0005-0000-0000-0000710B0000}"/>
    <cellStyle name="Output 12" xfId="2925" xr:uid="{00000000-0005-0000-0000-0000720B0000}"/>
    <cellStyle name="Output 13" xfId="2926" xr:uid="{00000000-0005-0000-0000-0000730B0000}"/>
    <cellStyle name="Output 14" xfId="2927" xr:uid="{00000000-0005-0000-0000-0000740B0000}"/>
    <cellStyle name="Output 2" xfId="2928" xr:uid="{00000000-0005-0000-0000-0000750B0000}"/>
    <cellStyle name="Output 2 2" xfId="2929" xr:uid="{00000000-0005-0000-0000-0000760B0000}"/>
    <cellStyle name="Output 2 2 2" xfId="2930" xr:uid="{00000000-0005-0000-0000-0000770B0000}"/>
    <cellStyle name="Output 2 2 3" xfId="2931" xr:uid="{00000000-0005-0000-0000-0000780B0000}"/>
    <cellStyle name="Output 2 2 4" xfId="2932" xr:uid="{00000000-0005-0000-0000-0000790B0000}"/>
    <cellStyle name="Output 2 2 5" xfId="2933" xr:uid="{00000000-0005-0000-0000-00007A0B0000}"/>
    <cellStyle name="Output 2 3" xfId="2934" xr:uid="{00000000-0005-0000-0000-00007B0B0000}"/>
    <cellStyle name="Output 2 3 2" xfId="2935" xr:uid="{00000000-0005-0000-0000-00007C0B0000}"/>
    <cellStyle name="Output 2 3 3" xfId="2936" xr:uid="{00000000-0005-0000-0000-00007D0B0000}"/>
    <cellStyle name="Output 2 4" xfId="2937" xr:uid="{00000000-0005-0000-0000-00007E0B0000}"/>
    <cellStyle name="Output 2 5" xfId="2938" xr:uid="{00000000-0005-0000-0000-00007F0B0000}"/>
    <cellStyle name="Output 3" xfId="2939" xr:uid="{00000000-0005-0000-0000-0000800B0000}"/>
    <cellStyle name="Output 3 2" xfId="2940" xr:uid="{00000000-0005-0000-0000-0000810B0000}"/>
    <cellStyle name="Output 3 3" xfId="2941" xr:uid="{00000000-0005-0000-0000-0000820B0000}"/>
    <cellStyle name="Output 3 4" xfId="2942" xr:uid="{00000000-0005-0000-0000-0000830B0000}"/>
    <cellStyle name="Output 4" xfId="2943" xr:uid="{00000000-0005-0000-0000-0000840B0000}"/>
    <cellStyle name="Output 4 2" xfId="2944" xr:uid="{00000000-0005-0000-0000-0000850B0000}"/>
    <cellStyle name="Output 4 3" xfId="2945" xr:uid="{00000000-0005-0000-0000-0000860B0000}"/>
    <cellStyle name="Output 4 4" xfId="2946" xr:uid="{00000000-0005-0000-0000-0000870B0000}"/>
    <cellStyle name="Output 5" xfId="2947" xr:uid="{00000000-0005-0000-0000-0000880B0000}"/>
    <cellStyle name="Output 5 2" xfId="2948" xr:uid="{00000000-0005-0000-0000-0000890B0000}"/>
    <cellStyle name="Output 5 2 2" xfId="2949" xr:uid="{00000000-0005-0000-0000-00008A0B0000}"/>
    <cellStyle name="Output 5 2 3" xfId="2950" xr:uid="{00000000-0005-0000-0000-00008B0B0000}"/>
    <cellStyle name="Output 5 2 4" xfId="2951" xr:uid="{00000000-0005-0000-0000-00008C0B0000}"/>
    <cellStyle name="Output 5 3" xfId="2952" xr:uid="{00000000-0005-0000-0000-00008D0B0000}"/>
    <cellStyle name="Output 5 3 2" xfId="2953" xr:uid="{00000000-0005-0000-0000-00008E0B0000}"/>
    <cellStyle name="Output 5 3 3" xfId="2954" xr:uid="{00000000-0005-0000-0000-00008F0B0000}"/>
    <cellStyle name="Output 5 4" xfId="2955" xr:uid="{00000000-0005-0000-0000-0000900B0000}"/>
    <cellStyle name="Output 5 4 2" xfId="2956" xr:uid="{00000000-0005-0000-0000-0000910B0000}"/>
    <cellStyle name="Output 5 4 2 2" xfId="2957" xr:uid="{00000000-0005-0000-0000-0000920B0000}"/>
    <cellStyle name="Output 5 4 3" xfId="2958" xr:uid="{00000000-0005-0000-0000-0000930B0000}"/>
    <cellStyle name="Output 5 4 3 2" xfId="2959" xr:uid="{00000000-0005-0000-0000-0000940B0000}"/>
    <cellStyle name="Output 6" xfId="2960" xr:uid="{00000000-0005-0000-0000-0000950B0000}"/>
    <cellStyle name="Output 6 2" xfId="2961" xr:uid="{00000000-0005-0000-0000-0000960B0000}"/>
    <cellStyle name="Output 6 3" xfId="2962" xr:uid="{00000000-0005-0000-0000-0000970B0000}"/>
    <cellStyle name="Output 7" xfId="2963" xr:uid="{00000000-0005-0000-0000-0000980B0000}"/>
    <cellStyle name="Output 7 2" xfId="2964" xr:uid="{00000000-0005-0000-0000-0000990B0000}"/>
    <cellStyle name="Output 8" xfId="2965" xr:uid="{00000000-0005-0000-0000-00009A0B0000}"/>
    <cellStyle name="Output 9" xfId="2966" xr:uid="{00000000-0005-0000-0000-00009B0B0000}"/>
    <cellStyle name="Output 9 2" xfId="2967" xr:uid="{00000000-0005-0000-0000-00009C0B0000}"/>
    <cellStyle name="Output 9 2 2" xfId="2968" xr:uid="{00000000-0005-0000-0000-00009D0B0000}"/>
    <cellStyle name="Output 9 3" xfId="2969" xr:uid="{00000000-0005-0000-0000-00009E0B0000}"/>
    <cellStyle name="Output 9 3 2" xfId="2970" xr:uid="{00000000-0005-0000-0000-00009F0B0000}"/>
    <cellStyle name="Per cent" xfId="2971" builtinId="5"/>
    <cellStyle name="Percent 2" xfId="2972" xr:uid="{00000000-0005-0000-0000-0000A10B0000}"/>
    <cellStyle name="Percent 3" xfId="2973" xr:uid="{00000000-0005-0000-0000-0000A20B0000}"/>
    <cellStyle name="Title" xfId="2974" builtinId="15" customBuiltin="1"/>
    <cellStyle name="Title 10" xfId="2975" xr:uid="{00000000-0005-0000-0000-0000A40B0000}"/>
    <cellStyle name="Title 10 2" xfId="2976" xr:uid="{00000000-0005-0000-0000-0000A50B0000}"/>
    <cellStyle name="Title 10 3" xfId="2977" xr:uid="{00000000-0005-0000-0000-0000A60B0000}"/>
    <cellStyle name="Title 11" xfId="2978" xr:uid="{00000000-0005-0000-0000-0000A70B0000}"/>
    <cellStyle name="Title 12" xfId="2979" xr:uid="{00000000-0005-0000-0000-0000A80B0000}"/>
    <cellStyle name="Title 13" xfId="2980" xr:uid="{00000000-0005-0000-0000-0000A90B0000}"/>
    <cellStyle name="Title 14" xfId="2981" xr:uid="{00000000-0005-0000-0000-0000AA0B0000}"/>
    <cellStyle name="Title 2" xfId="2982" xr:uid="{00000000-0005-0000-0000-0000AB0B0000}"/>
    <cellStyle name="Title 2 2" xfId="2983" xr:uid="{00000000-0005-0000-0000-0000AC0B0000}"/>
    <cellStyle name="Title 2 2 2" xfId="2984" xr:uid="{00000000-0005-0000-0000-0000AD0B0000}"/>
    <cellStyle name="Title 2 2 3" xfId="2985" xr:uid="{00000000-0005-0000-0000-0000AE0B0000}"/>
    <cellStyle name="Title 2 2 4" xfId="2986" xr:uid="{00000000-0005-0000-0000-0000AF0B0000}"/>
    <cellStyle name="Title 2 2 5" xfId="2987" xr:uid="{00000000-0005-0000-0000-0000B00B0000}"/>
    <cellStyle name="Title 2 3" xfId="2988" xr:uid="{00000000-0005-0000-0000-0000B10B0000}"/>
    <cellStyle name="Title 2 3 2" xfId="2989" xr:uid="{00000000-0005-0000-0000-0000B20B0000}"/>
    <cellStyle name="Title 2 3 3" xfId="2990" xr:uid="{00000000-0005-0000-0000-0000B30B0000}"/>
    <cellStyle name="Title 2 4" xfId="2991" xr:uid="{00000000-0005-0000-0000-0000B40B0000}"/>
    <cellStyle name="Title 2 5" xfId="2992" xr:uid="{00000000-0005-0000-0000-0000B50B0000}"/>
    <cellStyle name="Title 3" xfId="2993" xr:uid="{00000000-0005-0000-0000-0000B60B0000}"/>
    <cellStyle name="Title 3 2" xfId="2994" xr:uid="{00000000-0005-0000-0000-0000B70B0000}"/>
    <cellStyle name="Title 3 3" xfId="2995" xr:uid="{00000000-0005-0000-0000-0000B80B0000}"/>
    <cellStyle name="Title 3 4" xfId="2996" xr:uid="{00000000-0005-0000-0000-0000B90B0000}"/>
    <cellStyle name="Title 4" xfId="2997" xr:uid="{00000000-0005-0000-0000-0000BA0B0000}"/>
    <cellStyle name="Title 4 2" xfId="2998" xr:uid="{00000000-0005-0000-0000-0000BB0B0000}"/>
    <cellStyle name="Title 4 3" xfId="2999" xr:uid="{00000000-0005-0000-0000-0000BC0B0000}"/>
    <cellStyle name="Title 4 4" xfId="3000" xr:uid="{00000000-0005-0000-0000-0000BD0B0000}"/>
    <cellStyle name="Title 5" xfId="3001" xr:uid="{00000000-0005-0000-0000-0000BE0B0000}"/>
    <cellStyle name="Title 5 2" xfId="3002" xr:uid="{00000000-0005-0000-0000-0000BF0B0000}"/>
    <cellStyle name="Title 5 2 2" xfId="3003" xr:uid="{00000000-0005-0000-0000-0000C00B0000}"/>
    <cellStyle name="Title 5 2 3" xfId="3004" xr:uid="{00000000-0005-0000-0000-0000C10B0000}"/>
    <cellStyle name="Title 5 2 4" xfId="3005" xr:uid="{00000000-0005-0000-0000-0000C20B0000}"/>
    <cellStyle name="Title 5 3" xfId="3006" xr:uid="{00000000-0005-0000-0000-0000C30B0000}"/>
    <cellStyle name="Title 5 3 2" xfId="3007" xr:uid="{00000000-0005-0000-0000-0000C40B0000}"/>
    <cellStyle name="Title 5 3 3" xfId="3008" xr:uid="{00000000-0005-0000-0000-0000C50B0000}"/>
    <cellStyle name="Title 5 4" xfId="3009" xr:uid="{00000000-0005-0000-0000-0000C60B0000}"/>
    <cellStyle name="Title 5 4 2" xfId="3010" xr:uid="{00000000-0005-0000-0000-0000C70B0000}"/>
    <cellStyle name="Title 5 4 2 2" xfId="3011" xr:uid="{00000000-0005-0000-0000-0000C80B0000}"/>
    <cellStyle name="Title 5 4 3" xfId="3012" xr:uid="{00000000-0005-0000-0000-0000C90B0000}"/>
    <cellStyle name="Title 5 4 3 2" xfId="3013" xr:uid="{00000000-0005-0000-0000-0000CA0B0000}"/>
    <cellStyle name="Title 6" xfId="3014" xr:uid="{00000000-0005-0000-0000-0000CB0B0000}"/>
    <cellStyle name="Title 6 2" xfId="3015" xr:uid="{00000000-0005-0000-0000-0000CC0B0000}"/>
    <cellStyle name="Title 6 3" xfId="3016" xr:uid="{00000000-0005-0000-0000-0000CD0B0000}"/>
    <cellStyle name="Title 7" xfId="3017" xr:uid="{00000000-0005-0000-0000-0000CE0B0000}"/>
    <cellStyle name="Title 7 2" xfId="3018" xr:uid="{00000000-0005-0000-0000-0000CF0B0000}"/>
    <cellStyle name="Title 8" xfId="3019" xr:uid="{00000000-0005-0000-0000-0000D00B0000}"/>
    <cellStyle name="Title 9" xfId="3020" xr:uid="{00000000-0005-0000-0000-0000D10B0000}"/>
    <cellStyle name="Title 9 2" xfId="3021" xr:uid="{00000000-0005-0000-0000-0000D20B0000}"/>
    <cellStyle name="Title 9 2 2" xfId="3022" xr:uid="{00000000-0005-0000-0000-0000D30B0000}"/>
    <cellStyle name="Title 9 3" xfId="3023" xr:uid="{00000000-0005-0000-0000-0000D40B0000}"/>
    <cellStyle name="Title 9 3 2" xfId="3024" xr:uid="{00000000-0005-0000-0000-0000D50B0000}"/>
    <cellStyle name="Total" xfId="3025" builtinId="25" customBuiltin="1"/>
    <cellStyle name="Total 10" xfId="3026" xr:uid="{00000000-0005-0000-0000-0000D70B0000}"/>
    <cellStyle name="Total 10 2" xfId="3027" xr:uid="{00000000-0005-0000-0000-0000D80B0000}"/>
    <cellStyle name="Total 10 3" xfId="3028" xr:uid="{00000000-0005-0000-0000-0000D90B0000}"/>
    <cellStyle name="Total 11" xfId="3029" xr:uid="{00000000-0005-0000-0000-0000DA0B0000}"/>
    <cellStyle name="Total 12" xfId="3030" xr:uid="{00000000-0005-0000-0000-0000DB0B0000}"/>
    <cellStyle name="Total 13" xfId="3031" xr:uid="{00000000-0005-0000-0000-0000DC0B0000}"/>
    <cellStyle name="Total 14" xfId="3032" xr:uid="{00000000-0005-0000-0000-0000DD0B0000}"/>
    <cellStyle name="Total 2" xfId="3033" xr:uid="{00000000-0005-0000-0000-0000DE0B0000}"/>
    <cellStyle name="Total 2 2" xfId="3034" xr:uid="{00000000-0005-0000-0000-0000DF0B0000}"/>
    <cellStyle name="Total 2 2 2" xfId="3035" xr:uid="{00000000-0005-0000-0000-0000E00B0000}"/>
    <cellStyle name="Total 2 2 3" xfId="3036" xr:uid="{00000000-0005-0000-0000-0000E10B0000}"/>
    <cellStyle name="Total 2 2 4" xfId="3037" xr:uid="{00000000-0005-0000-0000-0000E20B0000}"/>
    <cellStyle name="Total 2 2 5" xfId="3038" xr:uid="{00000000-0005-0000-0000-0000E30B0000}"/>
    <cellStyle name="Total 2 3" xfId="3039" xr:uid="{00000000-0005-0000-0000-0000E40B0000}"/>
    <cellStyle name="Total 2 3 2" xfId="3040" xr:uid="{00000000-0005-0000-0000-0000E50B0000}"/>
    <cellStyle name="Total 2 3 3" xfId="3041" xr:uid="{00000000-0005-0000-0000-0000E60B0000}"/>
    <cellStyle name="Total 2 4" xfId="3042" xr:uid="{00000000-0005-0000-0000-0000E70B0000}"/>
    <cellStyle name="Total 2 5" xfId="3043" xr:uid="{00000000-0005-0000-0000-0000E80B0000}"/>
    <cellStyle name="Total 3" xfId="3044" xr:uid="{00000000-0005-0000-0000-0000E90B0000}"/>
    <cellStyle name="Total 3 2" xfId="3045" xr:uid="{00000000-0005-0000-0000-0000EA0B0000}"/>
    <cellStyle name="Total 3 3" xfId="3046" xr:uid="{00000000-0005-0000-0000-0000EB0B0000}"/>
    <cellStyle name="Total 3 4" xfId="3047" xr:uid="{00000000-0005-0000-0000-0000EC0B0000}"/>
    <cellStyle name="Total 4" xfId="3048" xr:uid="{00000000-0005-0000-0000-0000ED0B0000}"/>
    <cellStyle name="Total 4 2" xfId="3049" xr:uid="{00000000-0005-0000-0000-0000EE0B0000}"/>
    <cellStyle name="Total 4 3" xfId="3050" xr:uid="{00000000-0005-0000-0000-0000EF0B0000}"/>
    <cellStyle name="Total 4 4" xfId="3051" xr:uid="{00000000-0005-0000-0000-0000F00B0000}"/>
    <cellStyle name="Total 5" xfId="3052" xr:uid="{00000000-0005-0000-0000-0000F10B0000}"/>
    <cellStyle name="Total 5 2" xfId="3053" xr:uid="{00000000-0005-0000-0000-0000F20B0000}"/>
    <cellStyle name="Total 5 2 2" xfId="3054" xr:uid="{00000000-0005-0000-0000-0000F30B0000}"/>
    <cellStyle name="Total 5 2 3" xfId="3055" xr:uid="{00000000-0005-0000-0000-0000F40B0000}"/>
    <cellStyle name="Total 5 2 4" xfId="3056" xr:uid="{00000000-0005-0000-0000-0000F50B0000}"/>
    <cellStyle name="Total 5 3" xfId="3057" xr:uid="{00000000-0005-0000-0000-0000F60B0000}"/>
    <cellStyle name="Total 5 3 2" xfId="3058" xr:uid="{00000000-0005-0000-0000-0000F70B0000}"/>
    <cellStyle name="Total 5 3 3" xfId="3059" xr:uid="{00000000-0005-0000-0000-0000F80B0000}"/>
    <cellStyle name="Total 5 4" xfId="3060" xr:uid="{00000000-0005-0000-0000-0000F90B0000}"/>
    <cellStyle name="Total 5 4 2" xfId="3061" xr:uid="{00000000-0005-0000-0000-0000FA0B0000}"/>
    <cellStyle name="Total 5 4 2 2" xfId="3062" xr:uid="{00000000-0005-0000-0000-0000FB0B0000}"/>
    <cellStyle name="Total 5 4 3" xfId="3063" xr:uid="{00000000-0005-0000-0000-0000FC0B0000}"/>
    <cellStyle name="Total 5 4 3 2" xfId="3064" xr:uid="{00000000-0005-0000-0000-0000FD0B0000}"/>
    <cellStyle name="Total 6" xfId="3065" xr:uid="{00000000-0005-0000-0000-0000FE0B0000}"/>
    <cellStyle name="Total 6 2" xfId="3066" xr:uid="{00000000-0005-0000-0000-0000FF0B0000}"/>
    <cellStyle name="Total 6 3" xfId="3067" xr:uid="{00000000-0005-0000-0000-0000000C0000}"/>
    <cellStyle name="Total 7" xfId="3068" xr:uid="{00000000-0005-0000-0000-0000010C0000}"/>
    <cellStyle name="Total 7 2" xfId="3069" xr:uid="{00000000-0005-0000-0000-0000020C0000}"/>
    <cellStyle name="Total 8" xfId="3070" xr:uid="{00000000-0005-0000-0000-0000030C0000}"/>
    <cellStyle name="Total 9" xfId="3071" xr:uid="{00000000-0005-0000-0000-0000040C0000}"/>
    <cellStyle name="Total 9 2" xfId="3072" xr:uid="{00000000-0005-0000-0000-0000050C0000}"/>
    <cellStyle name="Total 9 2 2" xfId="3073" xr:uid="{00000000-0005-0000-0000-0000060C0000}"/>
    <cellStyle name="Total 9 3" xfId="3074" xr:uid="{00000000-0005-0000-0000-0000070C0000}"/>
    <cellStyle name="Total 9 3 2" xfId="3075" xr:uid="{00000000-0005-0000-0000-0000080C0000}"/>
    <cellStyle name="Warning Text" xfId="3076" builtinId="11" customBuiltin="1"/>
    <cellStyle name="Warning Text 10" xfId="3077" xr:uid="{00000000-0005-0000-0000-00000A0C0000}"/>
    <cellStyle name="Warning Text 10 2" xfId="3078" xr:uid="{00000000-0005-0000-0000-00000B0C0000}"/>
    <cellStyle name="Warning Text 10 3" xfId="3079" xr:uid="{00000000-0005-0000-0000-00000C0C0000}"/>
    <cellStyle name="Warning Text 11" xfId="3080" xr:uid="{00000000-0005-0000-0000-00000D0C0000}"/>
    <cellStyle name="Warning Text 12" xfId="3081" xr:uid="{00000000-0005-0000-0000-00000E0C0000}"/>
    <cellStyle name="Warning Text 13" xfId="3082" xr:uid="{00000000-0005-0000-0000-00000F0C0000}"/>
    <cellStyle name="Warning Text 14" xfId="3083" xr:uid="{00000000-0005-0000-0000-0000100C0000}"/>
    <cellStyle name="Warning Text 2" xfId="3084" xr:uid="{00000000-0005-0000-0000-0000110C0000}"/>
    <cellStyle name="Warning Text 2 2" xfId="3085" xr:uid="{00000000-0005-0000-0000-0000120C0000}"/>
    <cellStyle name="Warning Text 2 2 2" xfId="3086" xr:uid="{00000000-0005-0000-0000-0000130C0000}"/>
    <cellStyle name="Warning Text 2 2 3" xfId="3087" xr:uid="{00000000-0005-0000-0000-0000140C0000}"/>
    <cellStyle name="Warning Text 2 2 4" xfId="3088" xr:uid="{00000000-0005-0000-0000-0000150C0000}"/>
    <cellStyle name="Warning Text 2 2 5" xfId="3089" xr:uid="{00000000-0005-0000-0000-0000160C0000}"/>
    <cellStyle name="Warning Text 2 3" xfId="3090" xr:uid="{00000000-0005-0000-0000-0000170C0000}"/>
    <cellStyle name="Warning Text 2 3 2" xfId="3091" xr:uid="{00000000-0005-0000-0000-0000180C0000}"/>
    <cellStyle name="Warning Text 2 3 3" xfId="3092" xr:uid="{00000000-0005-0000-0000-0000190C0000}"/>
    <cellStyle name="Warning Text 2 4" xfId="3093" xr:uid="{00000000-0005-0000-0000-00001A0C0000}"/>
    <cellStyle name="Warning Text 2 5" xfId="3094" xr:uid="{00000000-0005-0000-0000-00001B0C0000}"/>
    <cellStyle name="Warning Text 3" xfId="3095" xr:uid="{00000000-0005-0000-0000-00001C0C0000}"/>
    <cellStyle name="Warning Text 3 2" xfId="3096" xr:uid="{00000000-0005-0000-0000-00001D0C0000}"/>
    <cellStyle name="Warning Text 3 3" xfId="3097" xr:uid="{00000000-0005-0000-0000-00001E0C0000}"/>
    <cellStyle name="Warning Text 3 4" xfId="3098" xr:uid="{00000000-0005-0000-0000-00001F0C0000}"/>
    <cellStyle name="Warning Text 4" xfId="3099" xr:uid="{00000000-0005-0000-0000-0000200C0000}"/>
    <cellStyle name="Warning Text 4 2" xfId="3100" xr:uid="{00000000-0005-0000-0000-0000210C0000}"/>
    <cellStyle name="Warning Text 4 3" xfId="3101" xr:uid="{00000000-0005-0000-0000-0000220C0000}"/>
    <cellStyle name="Warning Text 4 4" xfId="3102" xr:uid="{00000000-0005-0000-0000-0000230C0000}"/>
    <cellStyle name="Warning Text 5" xfId="3103" xr:uid="{00000000-0005-0000-0000-0000240C0000}"/>
    <cellStyle name="Warning Text 5 2" xfId="3104" xr:uid="{00000000-0005-0000-0000-0000250C0000}"/>
    <cellStyle name="Warning Text 5 2 2" xfId="3105" xr:uid="{00000000-0005-0000-0000-0000260C0000}"/>
    <cellStyle name="Warning Text 5 2 3" xfId="3106" xr:uid="{00000000-0005-0000-0000-0000270C0000}"/>
    <cellStyle name="Warning Text 5 2 4" xfId="3107" xr:uid="{00000000-0005-0000-0000-0000280C0000}"/>
    <cellStyle name="Warning Text 5 3" xfId="3108" xr:uid="{00000000-0005-0000-0000-0000290C0000}"/>
    <cellStyle name="Warning Text 5 3 2" xfId="3109" xr:uid="{00000000-0005-0000-0000-00002A0C0000}"/>
    <cellStyle name="Warning Text 5 3 3" xfId="3110" xr:uid="{00000000-0005-0000-0000-00002B0C0000}"/>
    <cellStyle name="Warning Text 5 4" xfId="3111" xr:uid="{00000000-0005-0000-0000-00002C0C0000}"/>
    <cellStyle name="Warning Text 5 4 2" xfId="3112" xr:uid="{00000000-0005-0000-0000-00002D0C0000}"/>
    <cellStyle name="Warning Text 5 4 2 2" xfId="3113" xr:uid="{00000000-0005-0000-0000-00002E0C0000}"/>
    <cellStyle name="Warning Text 5 4 3" xfId="3114" xr:uid="{00000000-0005-0000-0000-00002F0C0000}"/>
    <cellStyle name="Warning Text 5 4 3 2" xfId="3115" xr:uid="{00000000-0005-0000-0000-0000300C0000}"/>
    <cellStyle name="Warning Text 6" xfId="3116" xr:uid="{00000000-0005-0000-0000-0000310C0000}"/>
    <cellStyle name="Warning Text 6 2" xfId="3117" xr:uid="{00000000-0005-0000-0000-0000320C0000}"/>
    <cellStyle name="Warning Text 6 3" xfId="3118" xr:uid="{00000000-0005-0000-0000-0000330C0000}"/>
    <cellStyle name="Warning Text 7" xfId="3119" xr:uid="{00000000-0005-0000-0000-0000340C0000}"/>
    <cellStyle name="Warning Text 7 2" xfId="3120" xr:uid="{00000000-0005-0000-0000-0000350C0000}"/>
    <cellStyle name="Warning Text 8" xfId="3121" xr:uid="{00000000-0005-0000-0000-0000360C0000}"/>
    <cellStyle name="Warning Text 9" xfId="3122" xr:uid="{00000000-0005-0000-0000-0000370C0000}"/>
    <cellStyle name="Warning Text 9 2" xfId="3123" xr:uid="{00000000-0005-0000-0000-0000380C0000}"/>
    <cellStyle name="Warning Text 9 2 2" xfId="3124" xr:uid="{00000000-0005-0000-0000-0000390C0000}"/>
    <cellStyle name="Warning Text 9 3" xfId="3125" xr:uid="{00000000-0005-0000-0000-00003A0C0000}"/>
    <cellStyle name="Warning Text 9 3 2" xfId="3126" xr:uid="{00000000-0005-0000-0000-00003B0C0000}"/>
  </cellStyles>
  <dxfs count="2">
    <dxf>
      <font>
        <b val="0"/>
        <i/>
        <condense val="0"/>
        <extend val="0"/>
        <color indexed="1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trlProps/ctrlProp1.xml><?xml version="1.0" encoding="utf-8"?>
<formControlPr xmlns="http://schemas.microsoft.com/office/spreadsheetml/2009/9/main" objectType="Drop" dropLines="12" dropStyle="combo" dx="16" fmlaLink="$AE$14" fmlaRange="$Z$72:$Z$131" noThreeD="1" sel="1" val="0"/>
</file>

<file path=xl/ctrlProps/ctrlProp10.xml><?xml version="1.0" encoding="utf-8"?>
<formControlPr xmlns="http://schemas.microsoft.com/office/spreadsheetml/2009/9/main" objectType="Drop" dropLines="3" dropStyle="combo" dx="16" fmlaLink="$U$3" fmlaRange="$B$82:$B$84" sel="1" val="0"/>
</file>

<file path=xl/ctrlProps/ctrlProp11.xml><?xml version="1.0" encoding="utf-8"?>
<formControlPr xmlns="http://schemas.microsoft.com/office/spreadsheetml/2009/9/main" objectType="Drop" dropLines="12" dropStyle="combo" dx="16" fmlaLink="$U$17" fmlaRange="$P$89:$P$154" noThreeD="1" sel="1" val="46"/>
</file>

<file path=xl/ctrlProps/ctrlProp12.xml><?xml version="1.0" encoding="utf-8"?>
<formControlPr xmlns="http://schemas.microsoft.com/office/spreadsheetml/2009/9/main" objectType="Drop" dropLines="12" dropStyle="combo" dx="16" fmlaLink="$U$18" fmlaRange="$P$89:$P$154" noThreeD="1" sel="1" val="42"/>
</file>

<file path=xl/ctrlProps/ctrlProp13.xml><?xml version="1.0" encoding="utf-8"?>
<formControlPr xmlns="http://schemas.microsoft.com/office/spreadsheetml/2009/9/main" objectType="CheckBox" checked="Checked" fmlaLink="$Z$7" lockText="1" noThreeD="1"/>
</file>

<file path=xl/ctrlProps/ctrlProp14.xml><?xml version="1.0" encoding="utf-8"?>
<formControlPr xmlns="http://schemas.microsoft.com/office/spreadsheetml/2009/9/main" objectType="CheckBox" checked="Checked" fmlaLink="$Z$5" lockText="1" noThreeD="1"/>
</file>

<file path=xl/ctrlProps/ctrlProp15.xml><?xml version="1.0" encoding="utf-8"?>
<formControlPr xmlns="http://schemas.microsoft.com/office/spreadsheetml/2009/9/main" objectType="Drop" dropLines="24" dropStyle="combo" dx="16" fmlaLink="$S$14" fmlaRange="$B$73:$B$109" noThreeD="1" sel="1" val="0"/>
</file>

<file path=xl/ctrlProps/ctrlProp16.xml><?xml version="1.0" encoding="utf-8"?>
<formControlPr xmlns="http://schemas.microsoft.com/office/spreadsheetml/2009/9/main" objectType="Drop" dropLines="24" dropStyle="combo" dx="16" fmlaLink="$S$15" fmlaRange="$B$73:$B$109" noThreeD="1" sel="1" val="0"/>
</file>

<file path=xl/ctrlProps/ctrlProp17.xml><?xml version="1.0" encoding="utf-8"?>
<formControlPr xmlns="http://schemas.microsoft.com/office/spreadsheetml/2009/9/main" objectType="Drop" dropLines="24" dropStyle="combo" dx="16" fmlaLink="$S$16" fmlaRange="$B$73:$B$109" noThreeD="1" sel="1" val="0"/>
</file>

<file path=xl/ctrlProps/ctrlProp18.xml><?xml version="1.0" encoding="utf-8"?>
<formControlPr xmlns="http://schemas.microsoft.com/office/spreadsheetml/2009/9/main" objectType="Drop" dropLines="24" dropStyle="combo" dx="16" fmlaLink="$S$22" fmlaRange="$B$73:$B$109" noThreeD="1" sel="1" val="0"/>
</file>

<file path=xl/ctrlProps/ctrlProp19.xml><?xml version="1.0" encoding="utf-8"?>
<formControlPr xmlns="http://schemas.microsoft.com/office/spreadsheetml/2009/9/main" objectType="Drop" dropLines="24" dropStyle="combo" dx="16" fmlaLink="$S$23" fmlaRange="$B$73:$B$109" noThreeD="1" sel="1" val="0"/>
</file>

<file path=xl/ctrlProps/ctrlProp2.xml><?xml version="1.0" encoding="utf-8"?>
<formControlPr xmlns="http://schemas.microsoft.com/office/spreadsheetml/2009/9/main" objectType="Drop" dropLines="12" dropStyle="combo" dx="16" fmlaLink="$AE$17" fmlaRange="$Z$72:$Z$131" noThreeD="1" sel="1" val="0"/>
</file>

<file path=xl/ctrlProps/ctrlProp20.xml><?xml version="1.0" encoding="utf-8"?>
<formControlPr xmlns="http://schemas.microsoft.com/office/spreadsheetml/2009/9/main" objectType="Drop" dropLines="12" dropStyle="combo" dx="16" fmlaLink="$S$24" fmlaRange="$S$75:$S$123" noThreeD="1" sel="1" val="33"/>
</file>

<file path=xl/ctrlProps/ctrlProp21.xml><?xml version="1.0" encoding="utf-8"?>
<formControlPr xmlns="http://schemas.microsoft.com/office/spreadsheetml/2009/9/main" objectType="Drop" dropLines="24" dropStyle="combo" dx="16" fmlaLink="$S$24" fmlaRange="$B$73:$B$109" noThreeD="1" sel="1" val="0"/>
</file>

<file path=xl/ctrlProps/ctrlProp22.xml><?xml version="1.0" encoding="utf-8"?>
<formControlPr xmlns="http://schemas.microsoft.com/office/spreadsheetml/2009/9/main" objectType="Drop" dropLines="12" dropStyle="combo" dx="16" fmlaLink="$S$3" fmlaRange="$B$63:$B$66" noThreeD="1" sel="1" val="0"/>
</file>

<file path=xl/ctrlProps/ctrlProp23.xml><?xml version="1.0" encoding="utf-8"?>
<formControlPr xmlns="http://schemas.microsoft.com/office/spreadsheetml/2009/9/main" objectType="Drop" dropLines="12" dropStyle="combo" dx="16" fmlaLink="$S$11" fmlaRange="$N$90:$N$159" noThreeD="1" sel="1" val="0"/>
</file>

<file path=xl/ctrlProps/ctrlProp24.xml><?xml version="1.0" encoding="utf-8"?>
<formControlPr xmlns="http://schemas.microsoft.com/office/spreadsheetml/2009/9/main" objectType="Drop" dropLines="12" dropStyle="combo" dx="16" fmlaLink="$S$12" fmlaRange="$N$90:$N$159" noThreeD="1" sel="1" val="0"/>
</file>

<file path=xl/ctrlProps/ctrlProp25.xml><?xml version="1.0" encoding="utf-8"?>
<formControlPr xmlns="http://schemas.microsoft.com/office/spreadsheetml/2009/9/main" objectType="Drop" dropLines="12" dropStyle="combo" dx="16" fmlaLink="$S$13" fmlaRange="$N$90:$N$159" noThreeD="1" sel="1" val="0"/>
</file>

<file path=xl/ctrlProps/ctrlProp26.xml><?xml version="1.0" encoding="utf-8"?>
<formControlPr xmlns="http://schemas.microsoft.com/office/spreadsheetml/2009/9/main" objectType="Drop" dropLines="12" dropStyle="combo" dx="16" fmlaLink="$S$19" fmlaRange="$N$90:$N$159" noThreeD="1" sel="1" val="0"/>
</file>

<file path=xl/ctrlProps/ctrlProp27.xml><?xml version="1.0" encoding="utf-8"?>
<formControlPr xmlns="http://schemas.microsoft.com/office/spreadsheetml/2009/9/main" objectType="Drop" dropLines="12" dropStyle="combo" dx="16" fmlaLink="$S$20" fmlaRange="$N$90:$N$159" noThreeD="1" sel="1" val="0"/>
</file>

<file path=xl/ctrlProps/ctrlProp28.xml><?xml version="1.0" encoding="utf-8"?>
<formControlPr xmlns="http://schemas.microsoft.com/office/spreadsheetml/2009/9/main" objectType="Drop" dropLines="12" dropStyle="combo" dx="16" fmlaLink="$S$28" fmlaRange="$B$75:$C$85" noThreeD="1" sel="1" val="0"/>
</file>

<file path=xl/ctrlProps/ctrlProp29.xml><?xml version="1.0" encoding="utf-8"?>
<formControlPr xmlns="http://schemas.microsoft.com/office/spreadsheetml/2009/9/main" objectType="Drop" dropLines="12" dropStyle="combo" dx="16" fmlaLink="$S$21" fmlaRange="$N$90:$N$159" noThreeD="1" sel="1" val="0"/>
</file>

<file path=xl/ctrlProps/ctrlProp3.xml><?xml version="1.0" encoding="utf-8"?>
<formControlPr xmlns="http://schemas.microsoft.com/office/spreadsheetml/2009/9/main" objectType="Drop" dropLines="12" dropStyle="combo" dx="16" fmlaLink="$AE$18" fmlaRange="$Z$72:$Z$131" noThreeD="1" sel="1" val="0"/>
</file>

<file path=xl/ctrlProps/ctrlProp30.xml><?xml version="1.0" encoding="utf-8"?>
<formControlPr xmlns="http://schemas.microsoft.com/office/spreadsheetml/2009/9/main" objectType="Drop" dropLines="4" dropStyle="combo" dx="16" fmlaLink="$S$7" fmlaRange="$B$63:$B$66" sel="1" val="0"/>
</file>

<file path=xl/ctrlProps/ctrlProp31.xml><?xml version="1.0" encoding="utf-8"?>
<formControlPr xmlns="http://schemas.microsoft.com/office/spreadsheetml/2009/9/main" objectType="Drop" dropLines="3" dropStyle="combo" dx="16" fmlaLink="$W$7" fmlaRange="$B$63:$B$65" sel="1" val="0"/>
</file>

<file path=xl/ctrlProps/ctrlProp32.xml><?xml version="1.0" encoding="utf-8"?>
<formControlPr xmlns="http://schemas.microsoft.com/office/spreadsheetml/2009/9/main" objectType="Drop" dropLines="12" dropStyle="combo" dx="16" fmlaLink="$W$11" fmlaRange="$P$72:$P$77" noThreeD="1" sel="1" val="0"/>
</file>

<file path=xl/ctrlProps/ctrlProp33.xml><?xml version="1.0" encoding="utf-8"?>
<formControlPr xmlns="http://schemas.microsoft.com/office/spreadsheetml/2009/9/main" objectType="Drop" dropLines="12" dropStyle="combo" dx="16" fmlaLink="$W$12" fmlaRange="$P$72:$P$77" noThreeD="1" sel="1" val="0"/>
</file>

<file path=xl/ctrlProps/ctrlProp34.xml><?xml version="1.0" encoding="utf-8"?>
<formControlPr xmlns="http://schemas.microsoft.com/office/spreadsheetml/2009/9/main" objectType="Drop" dropLines="12" dropStyle="combo" dx="16" fmlaLink="$W$13" fmlaRange="$P$72:$P$77" noThreeD="1" sel="1" val="0"/>
</file>

<file path=xl/ctrlProps/ctrlProp35.xml><?xml version="1.0" encoding="utf-8"?>
<formControlPr xmlns="http://schemas.microsoft.com/office/spreadsheetml/2009/9/main" objectType="Drop" dropLines="12" dropStyle="combo" dx="16" fmlaLink="$W$18" fmlaRange="$P$72:$P$77" noThreeD="1" sel="1" val="0"/>
</file>

<file path=xl/ctrlProps/ctrlProp36.xml><?xml version="1.0" encoding="utf-8"?>
<formControlPr xmlns="http://schemas.microsoft.com/office/spreadsheetml/2009/9/main" objectType="Drop" dropLines="12" dropStyle="combo" dx="16" fmlaLink="$W$19" fmlaRange="$P$72:$P$77" noThreeD="1" sel="1" val="0"/>
</file>

<file path=xl/ctrlProps/ctrlProp37.xml><?xml version="1.0" encoding="utf-8"?>
<formControlPr xmlns="http://schemas.microsoft.com/office/spreadsheetml/2009/9/main" objectType="Drop" dropLines="12" dropStyle="combo" dx="16" fmlaLink="$W$20" fmlaRange="$P$72:$P$77" noThreeD="1" sel="1" val="0"/>
</file>

<file path=xl/ctrlProps/ctrlProp38.xml><?xml version="1.0" encoding="utf-8"?>
<formControlPr xmlns="http://schemas.microsoft.com/office/spreadsheetml/2009/9/main" objectType="Drop" dropLines="12" dropStyle="combo" dx="16" fmlaLink="$W$26" fmlaRange="$H$63:$H$65" noThreeD="1" sel="1" val="0"/>
</file>

<file path=xl/ctrlProps/ctrlProp39.xml><?xml version="1.0" encoding="utf-8"?>
<formControlPr xmlns="http://schemas.microsoft.com/office/spreadsheetml/2009/9/main" objectType="CheckBox" fmlaLink="$P$4" lockText="1" noThreeD="1"/>
</file>

<file path=xl/ctrlProps/ctrlProp4.xml><?xml version="1.0" encoding="utf-8"?>
<formControlPr xmlns="http://schemas.microsoft.com/office/spreadsheetml/2009/9/main" objectType="Drop" dropLines="3" dropStyle="combo" dx="16" fmlaLink="$AE$3" fmlaRange="$B$65:$B$67" sel="1" val="0"/>
</file>

<file path=xl/ctrlProps/ctrlProp40.xml><?xml version="1.0" encoding="utf-8"?>
<formControlPr xmlns="http://schemas.microsoft.com/office/spreadsheetml/2009/9/main" objectType="CheckBox" fmlaLink="$P$5" lockText="1" noThreeD="1"/>
</file>

<file path=xl/ctrlProps/ctrlProp41.xml><?xml version="1.0" encoding="utf-8"?>
<formControlPr xmlns="http://schemas.microsoft.com/office/spreadsheetml/2009/9/main" objectType="CheckBox" fmlaLink="$P$6" lockText="1" noThreeD="1"/>
</file>

<file path=xl/ctrlProps/ctrlProp42.xml><?xml version="1.0" encoding="utf-8"?>
<formControlPr xmlns="http://schemas.microsoft.com/office/spreadsheetml/2009/9/main" objectType="CheckBox" fmlaLink="$P$7" lockText="1" noThreeD="1"/>
</file>

<file path=xl/ctrlProps/ctrlProp43.xml><?xml version="1.0" encoding="utf-8"?>
<formControlPr xmlns="http://schemas.microsoft.com/office/spreadsheetml/2009/9/main" objectType="CheckBox" fmlaLink="$P$8" lockText="1" noThreeD="1"/>
</file>

<file path=xl/ctrlProps/ctrlProp44.xml><?xml version="1.0" encoding="utf-8"?>
<formControlPr xmlns="http://schemas.microsoft.com/office/spreadsheetml/2009/9/main" objectType="CheckBox" fmlaLink="$P$18" lockText="1" noThreeD="1"/>
</file>

<file path=xl/ctrlProps/ctrlProp45.xml><?xml version="1.0" encoding="utf-8"?>
<formControlPr xmlns="http://schemas.microsoft.com/office/spreadsheetml/2009/9/main" objectType="CheckBox" fmlaLink="$P$34" lockText="1" noThreeD="1"/>
</file>

<file path=xl/ctrlProps/ctrlProp46.xml><?xml version="1.0" encoding="utf-8"?>
<formControlPr xmlns="http://schemas.microsoft.com/office/spreadsheetml/2009/9/main" objectType="Drop" dropStyle="combo" dx="16" fmlaLink="$P$40" fmlaRange="$C$87:$C$121" noThreeD="1" sel="1" val="0"/>
</file>

<file path=xl/ctrlProps/ctrlProp47.xml><?xml version="1.0" encoding="utf-8"?>
<formControlPr xmlns="http://schemas.microsoft.com/office/spreadsheetml/2009/9/main" objectType="Drop" dropStyle="combo" dx="16" fmlaLink="$P$41" fmlaRange="$C$87:$C$121" noThreeD="1" sel="1" val="0"/>
</file>

<file path=xl/ctrlProps/ctrlProp48.xml><?xml version="1.0" encoding="utf-8"?>
<formControlPr xmlns="http://schemas.microsoft.com/office/spreadsheetml/2009/9/main" objectType="Drop" dropStyle="combo" dx="16" fmlaLink="$P$42" fmlaRange="$C$87:$C$121" noThreeD="1" sel="1" val="0"/>
</file>

<file path=xl/ctrlProps/ctrlProp49.xml><?xml version="1.0" encoding="utf-8"?>
<formControlPr xmlns="http://schemas.microsoft.com/office/spreadsheetml/2009/9/main" objectType="CheckBox" fmlaLink="$P$35" lockText="1" noThreeD="1"/>
</file>

<file path=xl/ctrlProps/ctrlProp5.xml><?xml version="1.0" encoding="utf-8"?>
<formControlPr xmlns="http://schemas.microsoft.com/office/spreadsheetml/2009/9/main" objectType="Drop" dropLines="12" dropStyle="combo" dx="16" fmlaLink="$AE$15" fmlaRange="$Z$72:$Z$131" noThreeD="1" sel="1" val="0"/>
</file>

<file path=xl/ctrlProps/ctrlProp50.xml><?xml version="1.0" encoding="utf-8"?>
<formControlPr xmlns="http://schemas.microsoft.com/office/spreadsheetml/2009/9/main" objectType="CheckBox" fmlaLink="$P$56" lockText="1" noThreeD="1"/>
</file>

<file path=xl/ctrlProps/ctrlProp51.xml><?xml version="1.0" encoding="utf-8"?>
<formControlPr xmlns="http://schemas.microsoft.com/office/spreadsheetml/2009/9/main" objectType="CheckBox" fmlaLink="$P$57" lockText="1" noThreeD="1"/>
</file>

<file path=xl/ctrlProps/ctrlProp52.xml><?xml version="1.0" encoding="utf-8"?>
<formControlPr xmlns="http://schemas.microsoft.com/office/spreadsheetml/2009/9/main" objectType="CheckBox" fmlaLink="$P$58" lockText="1" noThreeD="1"/>
</file>

<file path=xl/ctrlProps/ctrlProp53.xml><?xml version="1.0" encoding="utf-8"?>
<formControlPr xmlns="http://schemas.microsoft.com/office/spreadsheetml/2009/9/main" objectType="CheckBox" fmlaLink="$P$17" lockText="1" noThreeD="1"/>
</file>

<file path=xl/ctrlProps/ctrlProp54.xml><?xml version="1.0" encoding="utf-8"?>
<formControlPr xmlns="http://schemas.microsoft.com/office/spreadsheetml/2009/9/main" objectType="CheckBox" fmlaLink="$P$33" lockText="1" noThreeD="1"/>
</file>

<file path=xl/ctrlProps/ctrlProp55.xml><?xml version="1.0" encoding="utf-8"?>
<formControlPr xmlns="http://schemas.microsoft.com/office/spreadsheetml/2009/9/main" objectType="CheckBox" fmlaLink="$Z$10" lockText="1" noThreeD="1"/>
</file>

<file path=xl/ctrlProps/ctrlProp56.xml><?xml version="1.0" encoding="utf-8"?>
<formControlPr xmlns="http://schemas.microsoft.com/office/spreadsheetml/2009/9/main" objectType="CheckBox" fmlaLink="$Z$12" lockText="1" noThreeD="1"/>
</file>

<file path=xl/ctrlProps/ctrlProp57.xml><?xml version="1.0" encoding="utf-8"?>
<formControlPr xmlns="http://schemas.microsoft.com/office/spreadsheetml/2009/9/main" objectType="CheckBox" fmlaLink="$Z$14" lockText="1" noThreeD="1"/>
</file>

<file path=xl/ctrlProps/ctrlProp58.xml><?xml version="1.0" encoding="utf-8"?>
<formControlPr xmlns="http://schemas.microsoft.com/office/spreadsheetml/2009/9/main" objectType="CheckBox" fmlaLink="$Z$11" lockText="1" noThreeD="1"/>
</file>

<file path=xl/ctrlProps/ctrlProp59.xml><?xml version="1.0" encoding="utf-8"?>
<formControlPr xmlns="http://schemas.microsoft.com/office/spreadsheetml/2009/9/main" objectType="Drop" dropLines="12" dropStyle="combo" dx="16" fmlaLink="$Z$40" fmlaRange="$B$186:$B$261" noThreeD="1" sel="1" val="0"/>
</file>

<file path=xl/ctrlProps/ctrlProp6.xml><?xml version="1.0" encoding="utf-8"?>
<formControlPr xmlns="http://schemas.microsoft.com/office/spreadsheetml/2009/9/main" objectType="Drop" dropLines="12" dropStyle="combo" dx="16" fmlaLink="$AE$16" fmlaRange="$Z$72:$Z$131" noThreeD="1" sel="1" val="0"/>
</file>

<file path=xl/ctrlProps/ctrlProp60.xml><?xml version="1.0" encoding="utf-8"?>
<formControlPr xmlns="http://schemas.microsoft.com/office/spreadsheetml/2009/9/main" objectType="Drop" dropLines="12" dropStyle="combo" dx="16" fmlaLink="$Z$41" fmlaRange="$B$186:$B$261" noThreeD="1" sel="1" val="0"/>
</file>

<file path=xl/ctrlProps/ctrlProp61.xml><?xml version="1.0" encoding="utf-8"?>
<formControlPr xmlns="http://schemas.microsoft.com/office/spreadsheetml/2009/9/main" objectType="Drop" dropLines="12" dropStyle="combo" dx="16" fmlaLink="$Z$42" fmlaRange="$B$186:$B$261" noThreeD="1" sel="1" val="0"/>
</file>

<file path=xl/ctrlProps/ctrlProp62.xml><?xml version="1.0" encoding="utf-8"?>
<formControlPr xmlns="http://schemas.microsoft.com/office/spreadsheetml/2009/9/main" objectType="Drop" dropLines="12" dropStyle="combo" dx="16" fmlaLink="$Z$43" fmlaRange="$B$186:$B$261" noThreeD="1" sel="1" val="0"/>
</file>

<file path=xl/ctrlProps/ctrlProp63.xml><?xml version="1.0" encoding="utf-8"?>
<formControlPr xmlns="http://schemas.microsoft.com/office/spreadsheetml/2009/9/main" objectType="Drop" dropLines="12" dropStyle="combo" dx="16" fmlaLink="$Z$44" fmlaRange="$B$186:$B$261" noThreeD="1" sel="1" val="0"/>
</file>

<file path=xl/ctrlProps/ctrlProp64.xml><?xml version="1.0" encoding="utf-8"?>
<formControlPr xmlns="http://schemas.microsoft.com/office/spreadsheetml/2009/9/main" objectType="Drop" dropLines="12" dropStyle="combo" dx="16" fmlaLink="$Z$53" fmlaRange="$B$267:$B$286" noThreeD="1" sel="1" val="0"/>
</file>

<file path=xl/ctrlProps/ctrlProp65.xml><?xml version="1.0" encoding="utf-8"?>
<formControlPr xmlns="http://schemas.microsoft.com/office/spreadsheetml/2009/9/main" objectType="Drop" dropLines="12" dropStyle="combo" dx="16" fmlaLink="$Z$54" fmlaRange="$B$267:$B$286" noThreeD="1" sel="1" val="0"/>
</file>

<file path=xl/ctrlProps/ctrlProp66.xml><?xml version="1.0" encoding="utf-8"?>
<formControlPr xmlns="http://schemas.microsoft.com/office/spreadsheetml/2009/9/main" objectType="Drop" dropLines="12" dropStyle="combo" dx="16" fmlaLink="$Z$55" fmlaRange="$B$267:$B$286" noThreeD="1" sel="1" val="0"/>
</file>

<file path=xl/ctrlProps/ctrlProp67.xml><?xml version="1.0" encoding="utf-8"?>
<formControlPr xmlns="http://schemas.microsoft.com/office/spreadsheetml/2009/9/main" objectType="Drop" dropLines="12" dropStyle="combo" dx="16" fmlaLink="$Z$56" fmlaRange="$B$267:$B$286" noThreeD="1" sel="1" val="0"/>
</file>

<file path=xl/ctrlProps/ctrlProp68.xml><?xml version="1.0" encoding="utf-8"?>
<formControlPr xmlns="http://schemas.microsoft.com/office/spreadsheetml/2009/9/main" objectType="Drop" dropLines="12" dropStyle="combo" dx="16" fmlaLink="$Z$57" fmlaRange="$B$267:$B$286" noThreeD="1" sel="1" val="0"/>
</file>

<file path=xl/ctrlProps/ctrlProp69.xml><?xml version="1.0" encoding="utf-8"?>
<formControlPr xmlns="http://schemas.microsoft.com/office/spreadsheetml/2009/9/main" objectType="Drop" dropLines="12" dropStyle="combo" dx="16" fmlaLink="$Z$44" fmlaRange="$B$267:$B$286" noThreeD="1" sel="1" val="4"/>
</file>

<file path=xl/ctrlProps/ctrlProp7.xml><?xml version="1.0" encoding="utf-8"?>
<formControlPr xmlns="http://schemas.microsoft.com/office/spreadsheetml/2009/9/main" objectType="Drop" dropLines="12" dropStyle="combo" dx="16" fmlaLink="$U$16" fmlaRange="$P$89:$P$154" noThreeD="1" sel="1" val="0"/>
</file>

<file path=xl/ctrlProps/ctrlProp70.xml><?xml version="1.0" encoding="utf-8"?>
<formControlPr xmlns="http://schemas.microsoft.com/office/spreadsheetml/2009/9/main" objectType="Drop" dropLines="12" dropStyle="combo" dx="16" fmlaLink="$Z$86" fmlaRange="$B$186:$B$261" noThreeD="1" sel="1" val="0"/>
</file>

<file path=xl/ctrlProps/ctrlProp71.xml><?xml version="1.0" encoding="utf-8"?>
<formControlPr xmlns="http://schemas.microsoft.com/office/spreadsheetml/2009/9/main" objectType="Drop" dropLines="12" dropStyle="combo" dx="16" fmlaLink="$Z$87" fmlaRange="$B$186:$B$261" noThreeD="1" sel="1" val="0"/>
</file>

<file path=xl/ctrlProps/ctrlProp72.xml><?xml version="1.0" encoding="utf-8"?>
<formControlPr xmlns="http://schemas.microsoft.com/office/spreadsheetml/2009/9/main" objectType="Drop" dropLines="12" dropStyle="combo" dx="16" fmlaLink="$Z$88" fmlaRange="$B$186:$B$261" noThreeD="1" sel="1" val="60"/>
</file>

<file path=xl/ctrlProps/ctrlProp73.xml><?xml version="1.0" encoding="utf-8"?>
<formControlPr xmlns="http://schemas.microsoft.com/office/spreadsheetml/2009/9/main" objectType="Drop" dropLines="12" dropStyle="combo" dx="16" fmlaLink="$Z$89" fmlaRange="$B$186:$B$261" noThreeD="1" sel="1" val="0"/>
</file>

<file path=xl/ctrlProps/ctrlProp74.xml><?xml version="1.0" encoding="utf-8"?>
<formControlPr xmlns="http://schemas.microsoft.com/office/spreadsheetml/2009/9/main" objectType="Drop" dropLines="12" dropStyle="combo" dx="16" fmlaLink="$Z$90" fmlaRange="$B$186:$B$261" noThreeD="1" sel="1" val="0"/>
</file>

<file path=xl/ctrlProps/ctrlProp75.xml><?xml version="1.0" encoding="utf-8"?>
<formControlPr xmlns="http://schemas.microsoft.com/office/spreadsheetml/2009/9/main" objectType="Drop" dropLines="12" dropStyle="combo" dx="16" fmlaLink="$Z$99" fmlaRange="$B$267:$B$286" noThreeD="1" sel="1" val="0"/>
</file>

<file path=xl/ctrlProps/ctrlProp76.xml><?xml version="1.0" encoding="utf-8"?>
<formControlPr xmlns="http://schemas.microsoft.com/office/spreadsheetml/2009/9/main" objectType="Drop" dropLines="12" dropStyle="combo" dx="16" fmlaLink="$Z$100" fmlaRange="$B$267:$B$286" noThreeD="1" sel="1" val="0"/>
</file>

<file path=xl/ctrlProps/ctrlProp77.xml><?xml version="1.0" encoding="utf-8"?>
<formControlPr xmlns="http://schemas.microsoft.com/office/spreadsheetml/2009/9/main" objectType="Drop" dropLines="12" dropStyle="combo" dx="16" fmlaLink="$Z$101" fmlaRange="$B$267:$B$286" noThreeD="1" sel="1" val="0"/>
</file>

<file path=xl/ctrlProps/ctrlProp78.xml><?xml version="1.0" encoding="utf-8"?>
<formControlPr xmlns="http://schemas.microsoft.com/office/spreadsheetml/2009/9/main" objectType="Drop" dropLines="12" dropStyle="combo" dx="16" fmlaLink="$Z$102" fmlaRange="$B$267:$B$286" noThreeD="1" sel="1" val="0"/>
</file>

<file path=xl/ctrlProps/ctrlProp79.xml><?xml version="1.0" encoding="utf-8"?>
<formControlPr xmlns="http://schemas.microsoft.com/office/spreadsheetml/2009/9/main" objectType="Drop" dropLines="12" dropStyle="combo" dx="16" fmlaLink="$Z$57" fmlaRange="$B$267:$B$286" noThreeD="1" sel="1" val="0"/>
</file>

<file path=xl/ctrlProps/ctrlProp8.xml><?xml version="1.0" encoding="utf-8"?>
<formControlPr xmlns="http://schemas.microsoft.com/office/spreadsheetml/2009/9/main" objectType="Drop" dropLines="12" dropStyle="combo" dx="16" fmlaLink="$U$19" fmlaRange="$P$89:$P$154" noThreeD="1" sel="1" val="47"/>
</file>

<file path=xl/ctrlProps/ctrlProp80.xml><?xml version="1.0" encoding="utf-8"?>
<formControlPr xmlns="http://schemas.microsoft.com/office/spreadsheetml/2009/9/main" objectType="Drop" dropLines="12" dropStyle="combo" dx="16" fmlaLink="$Z$103" fmlaRange="$B$267:$B$286" noThreeD="1" sel="1" val="0"/>
</file>

<file path=xl/ctrlProps/ctrlProp81.xml><?xml version="1.0" encoding="utf-8"?>
<formControlPr xmlns="http://schemas.microsoft.com/office/spreadsheetml/2009/9/main" objectType="CheckBox" fmlaLink="$Z$13" lockText="1" noThreeD="1"/>
</file>

<file path=xl/ctrlProps/ctrlProp9.xml><?xml version="1.0" encoding="utf-8"?>
<formControlPr xmlns="http://schemas.microsoft.com/office/spreadsheetml/2009/9/main" objectType="Drop" dropLines="12" dropStyle="combo" dx="16" fmlaLink="$U$20" fmlaRange="$P$89:$P$154"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Road Waivers'!A126"/></Relationships>
</file>

<file path=xl/drawings/_rels/drawing3.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5.xml.rels><?xml version="1.0" encoding="UTF-8" standalone="yes"?>
<Relationships xmlns="http://schemas.openxmlformats.org/package/2006/relationships"><Relationship Id="rId1" Type="http://schemas.openxmlformats.org/officeDocument/2006/relationships/hyperlink" Target="#'Open Space'!Print_Area"/></Relationships>
</file>

<file path=xl/drawings/_rels/drawing7.xml.rels><?xml version="1.0" encoding="UTF-8" standalone="yes"?>
<Relationships xmlns="http://schemas.openxmlformats.org/package/2006/relationships"><Relationship Id="rId1" Type="http://schemas.openxmlformats.org/officeDocument/2006/relationships/hyperlink" Target="#'Peds &amp; Bikes'!Print_Area"/></Relationships>
</file>

<file path=xl/drawings/_rels/drawing8.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9.xml.rels><?xml version="1.0" encoding="UTF-8" standalone="yes"?>
<Relationships xmlns="http://schemas.openxmlformats.org/package/2006/relationships"><Relationship Id="rId1" Type="http://schemas.openxmlformats.org/officeDocument/2006/relationships/hyperlink" Target="#'Storm Water'!Print_Area"/></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39" name="Picture 1" descr="CT_Main_Greyscale">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14</xdr:col>
      <xdr:colOff>152400</xdr:colOff>
      <xdr:row>36</xdr:row>
      <xdr:rowOff>66675</xdr:rowOff>
    </xdr:to>
    <xdr:sp macro="" textlink="">
      <xdr:nvSpPr>
        <xdr:cNvPr id="1040" name="Rectangle 2">
          <a:extLst>
            <a:ext uri="{FF2B5EF4-FFF2-40B4-BE49-F238E27FC236}">
              <a16:creationId xmlns:a16="http://schemas.microsoft.com/office/drawing/2014/main" id="{00000000-0008-0000-0000-000010040000}"/>
            </a:ext>
          </a:extLst>
        </xdr:cNvPr>
        <xdr:cNvSpPr>
          <a:spLocks noChangeArrowheads="1"/>
        </xdr:cNvSpPr>
      </xdr:nvSpPr>
      <xdr:spPr bwMode="auto">
        <a:xfrm>
          <a:off x="85725" y="66675"/>
          <a:ext cx="8134350" cy="779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3</xdr:row>
          <xdr:rowOff>60960</xdr:rowOff>
        </xdr:from>
        <xdr:to>
          <xdr:col>9</xdr:col>
          <xdr:colOff>563880</xdr:colOff>
          <xdr:row>4</xdr:row>
          <xdr:rowOff>30480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A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NOT subject to an infrastructure agreement concerning road infrastructure contributions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xdr:row>
          <xdr:rowOff>38100</xdr:rowOff>
        </xdr:from>
        <xdr:to>
          <xdr:col>9</xdr:col>
          <xdr:colOff>2430780</xdr:colOff>
          <xdr:row>5</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A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average density (e.g., lot size, dwellings, population) is consistent with the character statement and acceptable solutions of the planning scheme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xdr:row>
          <xdr:rowOff>45720</xdr:rowOff>
        </xdr:from>
        <xdr:to>
          <xdr:col>6</xdr:col>
          <xdr:colOff>800100</xdr:colOff>
          <xdr:row>6</xdr:row>
          <xdr:rowOff>45720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A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urban or park-residential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xdr:row>
          <xdr:rowOff>60960</xdr:rowOff>
        </xdr:from>
        <xdr:to>
          <xdr:col>8</xdr:col>
          <xdr:colOff>495300</xdr:colOff>
          <xdr:row>7</xdr:row>
          <xdr:rowOff>60960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A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located within the Priority Infrastructure Area (pp.32-40 of the policy)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xdr:row>
          <xdr:rowOff>68580</xdr:rowOff>
        </xdr:from>
        <xdr:to>
          <xdr:col>13</xdr:col>
          <xdr:colOff>441960</xdr:colOff>
          <xdr:row>8</xdr:row>
          <xdr:rowOff>76200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A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represents growth within the traffic generation profiles as shown in p.48 of the policy.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17</xdr:row>
          <xdr:rowOff>7620</xdr:rowOff>
        </xdr:from>
        <xdr:to>
          <xdr:col>5</xdr:col>
          <xdr:colOff>617220</xdr:colOff>
          <xdr:row>18</xdr:row>
          <xdr:rowOff>7620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A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prior to 30 June 2010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33</xdr:row>
          <xdr:rowOff>30480</xdr:rowOff>
        </xdr:from>
        <xdr:to>
          <xdr:col>9</xdr:col>
          <xdr:colOff>1112520</xdr:colOff>
          <xdr:row>34</xdr:row>
          <xdr:rowOff>30480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A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infrastructure contributions relevant to the development is made before close of business 30/6/2011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7620</xdr:rowOff>
        </xdr:from>
        <xdr:to>
          <xdr:col>11</xdr:col>
          <xdr:colOff>30480</xdr:colOff>
          <xdr:row>40</xdr:row>
          <xdr:rowOff>22860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A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7620</xdr:rowOff>
        </xdr:from>
        <xdr:to>
          <xdr:col>11</xdr:col>
          <xdr:colOff>22860</xdr:colOff>
          <xdr:row>41</xdr:row>
          <xdr:rowOff>7620</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A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7620</xdr:rowOff>
        </xdr:from>
        <xdr:to>
          <xdr:col>11</xdr:col>
          <xdr:colOff>22860</xdr:colOff>
          <xdr:row>42</xdr:row>
          <xdr:rowOff>22860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A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34</xdr:row>
          <xdr:rowOff>38100</xdr:rowOff>
        </xdr:from>
        <xdr:to>
          <xdr:col>5</xdr:col>
          <xdr:colOff>236220</xdr:colOff>
          <xdr:row>35</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A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First Principles Assessment NOT been applied</a:t>
              </a:r>
            </a:p>
          </xdr:txBody>
        </xdr:sp>
        <xdr:clientData fLocksWithSheet="0"/>
      </xdr:twoCellAnchor>
    </mc:Choice>
    <mc:Fallback/>
  </mc:AlternateContent>
  <xdr:twoCellAnchor>
    <xdr:from>
      <xdr:col>2</xdr:col>
      <xdr:colOff>169545</xdr:colOff>
      <xdr:row>8</xdr:row>
      <xdr:rowOff>40005</xdr:rowOff>
    </xdr:from>
    <xdr:to>
      <xdr:col>12</xdr:col>
      <xdr:colOff>293370</xdr:colOff>
      <xdr:row>8</xdr:row>
      <xdr:rowOff>257316</xdr:rowOff>
    </xdr:to>
    <xdr:sp macro="" textlink="">
      <xdr:nvSpPr>
        <xdr:cNvPr id="16405" name="Text Box 21">
          <a:extLst>
            <a:ext uri="{FF2B5EF4-FFF2-40B4-BE49-F238E27FC236}">
              <a16:creationId xmlns:a16="http://schemas.microsoft.com/office/drawing/2014/main" id="{00000000-0008-0000-0A00-000015400000}"/>
            </a:ext>
          </a:extLst>
        </xdr:cNvPr>
        <xdr:cNvSpPr txBox="1">
          <a:spLocks noChangeArrowheads="1"/>
        </xdr:cNvSpPr>
      </xdr:nvSpPr>
      <xdr:spPr bwMode="auto">
        <a:xfrm>
          <a:off x="638175" y="2733675"/>
          <a:ext cx="9544050" cy="209550"/>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(N.B. development which generates trips exceeding those shown in Table B may need to be referred to the Road Infrastructure planners for advice)</a:t>
          </a:r>
        </a:p>
      </xdr:txBody>
    </xdr:sp>
    <xdr:clientData/>
  </xdr:twoCellAnchor>
  <xdr:twoCellAnchor>
    <xdr:from>
      <xdr:col>2</xdr:col>
      <xdr:colOff>169545</xdr:colOff>
      <xdr:row>9</xdr:row>
      <xdr:rowOff>38100</xdr:rowOff>
    </xdr:from>
    <xdr:to>
      <xdr:col>4</xdr:col>
      <xdr:colOff>28655</xdr:colOff>
      <xdr:row>10</xdr:row>
      <xdr:rowOff>36291</xdr:rowOff>
    </xdr:to>
    <xdr:sp macro="" textlink="">
      <xdr:nvSpPr>
        <xdr:cNvPr id="16406" name="Text Box 22">
          <a:hlinkClick xmlns:r="http://schemas.openxmlformats.org/officeDocument/2006/relationships" r:id="rId1"/>
          <a:extLst>
            <a:ext uri="{FF2B5EF4-FFF2-40B4-BE49-F238E27FC236}">
              <a16:creationId xmlns:a16="http://schemas.microsoft.com/office/drawing/2014/main" id="{00000000-0008-0000-0A00-000016400000}"/>
            </a:ext>
          </a:extLst>
        </xdr:cNvPr>
        <xdr:cNvSpPr txBox="1">
          <a:spLocks noChangeArrowheads="1"/>
        </xdr:cNvSpPr>
      </xdr:nvSpPr>
      <xdr:spPr bwMode="auto">
        <a:xfrm>
          <a:off x="638175" y="2990850"/>
          <a:ext cx="1285875" cy="257175"/>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1" i="0" u="sng" strike="noStrike" baseline="0">
              <a:solidFill>
                <a:srgbClr val="3366FF"/>
              </a:solidFill>
              <a:latin typeface="Arial"/>
              <a:cs typeface="Arial"/>
            </a:rPr>
            <a:t>Hyperlink to Table B</a:t>
          </a:r>
        </a:p>
      </xdr:txBody>
    </xdr:sp>
    <xdr:clientData/>
  </xdr:twoCellAnchor>
  <xdr:twoCellAnchor>
    <xdr:from>
      <xdr:col>2</xdr:col>
      <xdr:colOff>1905</xdr:colOff>
      <xdr:row>12</xdr:row>
      <xdr:rowOff>76200</xdr:rowOff>
    </xdr:from>
    <xdr:to>
      <xdr:col>12</xdr:col>
      <xdr:colOff>718213</xdr:colOff>
      <xdr:row>14</xdr:row>
      <xdr:rowOff>171450</xdr:rowOff>
    </xdr:to>
    <xdr:sp macro="" textlink="">
      <xdr:nvSpPr>
        <xdr:cNvPr id="16407" name="Text Box 23">
          <a:extLst>
            <a:ext uri="{FF2B5EF4-FFF2-40B4-BE49-F238E27FC236}">
              <a16:creationId xmlns:a16="http://schemas.microsoft.com/office/drawing/2014/main" id="{00000000-0008-0000-0A00-000017400000}"/>
            </a:ext>
          </a:extLst>
        </xdr:cNvPr>
        <xdr:cNvSpPr txBox="1">
          <a:spLocks noChangeArrowheads="1"/>
        </xdr:cNvSpPr>
      </xdr:nvSpPr>
      <xdr:spPr bwMode="auto">
        <a:xfrm>
          <a:off x="466725" y="3752850"/>
          <a:ext cx="10144125" cy="628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23rd June 2009, a 33% waiver of the Road Network Headworks is applicable to development for which the amended policy is effective, but only for those development approvals of land uses which are consistent with the relevant planning scheme and infrastructure planning commensurate with the amended planning scheme policies, and are decided before 30 June 2010, unless priority infrastructure plans commence earlier.</a:t>
          </a:r>
        </a:p>
      </xdr:txBody>
    </xdr:sp>
    <xdr:clientData/>
  </xdr:twoCellAnchor>
  <xdr:twoCellAnchor>
    <xdr:from>
      <xdr:col>1</xdr:col>
      <xdr:colOff>0</xdr:colOff>
      <xdr:row>0</xdr:row>
      <xdr:rowOff>523875</xdr:rowOff>
    </xdr:from>
    <xdr:to>
      <xdr:col>12</xdr:col>
      <xdr:colOff>443865</xdr:colOff>
      <xdr:row>2</xdr:row>
      <xdr:rowOff>0</xdr:rowOff>
    </xdr:to>
    <xdr:sp macro="" textlink="">
      <xdr:nvSpPr>
        <xdr:cNvPr id="16408" name="Text Box 24">
          <a:extLst>
            <a:ext uri="{FF2B5EF4-FFF2-40B4-BE49-F238E27FC236}">
              <a16:creationId xmlns:a16="http://schemas.microsoft.com/office/drawing/2014/main" id="{00000000-0008-0000-0A00-000018400000}"/>
            </a:ext>
          </a:extLst>
        </xdr:cNvPr>
        <xdr:cNvSpPr txBox="1">
          <a:spLocks noChangeArrowheads="1"/>
        </xdr:cNvSpPr>
      </xdr:nvSpPr>
      <xdr:spPr bwMode="auto">
        <a:xfrm>
          <a:off x="257175" y="523875"/>
          <a:ext cx="1007745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has made resoultions in the past concerning the waiving of road infrastructure contributions, with the greater of either waiver prevailing where they both apply. The applicable waiver is noted at the bottom of the worksheet and transferred to the Summary worksheet.</a:t>
          </a:r>
        </a:p>
      </xdr:txBody>
    </xdr:sp>
    <xdr:clientData/>
  </xdr:twoCellAnchor>
  <xdr:twoCellAnchor>
    <xdr:from>
      <xdr:col>2</xdr:col>
      <xdr:colOff>76200</xdr:colOff>
      <xdr:row>142</xdr:row>
      <xdr:rowOff>112395</xdr:rowOff>
    </xdr:from>
    <xdr:to>
      <xdr:col>8</xdr:col>
      <xdr:colOff>47648</xdr:colOff>
      <xdr:row>150</xdr:row>
      <xdr:rowOff>112374</xdr:rowOff>
    </xdr:to>
    <xdr:sp macro="" textlink="">
      <xdr:nvSpPr>
        <xdr:cNvPr id="16410" name="Text Box 26">
          <a:extLst>
            <a:ext uri="{FF2B5EF4-FFF2-40B4-BE49-F238E27FC236}">
              <a16:creationId xmlns:a16="http://schemas.microsoft.com/office/drawing/2014/main" id="{00000000-0008-0000-0A00-00001A400000}"/>
            </a:ext>
          </a:extLst>
        </xdr:cNvPr>
        <xdr:cNvSpPr txBox="1">
          <a:spLocks noChangeArrowheads="1"/>
        </xdr:cNvSpPr>
      </xdr:nvSpPr>
      <xdr:spPr bwMode="auto">
        <a:xfrm>
          <a:off x="542925" y="39014400"/>
          <a:ext cx="3924300"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Values represent 10% of the average annual growth, derived from 2006 - 2011 sectoral traffic generation demand (policy, p.48).</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While any single development exceeding such limits may still be within the planned annual growth, there is a strong likelihood that a number of similar developments are being proposed at the same time, and the aggregate effect of such growth needs to be checked to ensure the infrastructure is also available.</a:t>
          </a:r>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55</xdr:row>
          <xdr:rowOff>7620</xdr:rowOff>
        </xdr:from>
        <xdr:to>
          <xdr:col>6</xdr:col>
          <xdr:colOff>762000</xdr:colOff>
          <xdr:row>56</xdr:row>
          <xdr:rowOff>7620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A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after 30 June 2010.</a:t>
              </a:r>
            </a:p>
          </xdr:txBody>
        </xdr:sp>
        <xdr:clientData fLocksWithSheet="0"/>
      </xdr:twoCellAnchor>
    </mc:Choice>
    <mc:Fallback/>
  </mc:AlternateContent>
  <xdr:twoCellAnchor>
    <xdr:from>
      <xdr:col>1</xdr:col>
      <xdr:colOff>169545</xdr:colOff>
      <xdr:row>51</xdr:row>
      <xdr:rowOff>66675</xdr:rowOff>
    </xdr:from>
    <xdr:to>
      <xdr:col>12</xdr:col>
      <xdr:colOff>603910</xdr:colOff>
      <xdr:row>53</xdr:row>
      <xdr:rowOff>209688</xdr:rowOff>
    </xdr:to>
    <xdr:sp macro="" textlink="">
      <xdr:nvSpPr>
        <xdr:cNvPr id="16412" name="Text Box 28">
          <a:extLst>
            <a:ext uri="{FF2B5EF4-FFF2-40B4-BE49-F238E27FC236}">
              <a16:creationId xmlns:a16="http://schemas.microsoft.com/office/drawing/2014/main" id="{00000000-0008-0000-0A00-00001C400000}"/>
            </a:ext>
          </a:extLst>
        </xdr:cNvPr>
        <xdr:cNvSpPr txBox="1">
          <a:spLocks noChangeArrowheads="1"/>
        </xdr:cNvSpPr>
      </xdr:nvSpPr>
      <xdr:spPr bwMode="auto">
        <a:xfrm>
          <a:off x="419100" y="13658850"/>
          <a:ext cx="10077450" cy="66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22nd June 2010, a 20% waiver of the Road Network Headworks is applicable to development for which the policy is effective, but only for those development approvals of land uses which are consistent with the relevant planning scheme and infrastructure planning commensurate with the planning scheme policies, and are decided after 30 June 2010 (to avoid overlap with Waiver 1) but prior to 30 June 2011, and all road infrastructure contributions are paid before 30 June 2011..</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55</xdr:row>
          <xdr:rowOff>251460</xdr:rowOff>
        </xdr:from>
        <xdr:to>
          <xdr:col>6</xdr:col>
          <xdr:colOff>289560</xdr:colOff>
          <xdr:row>56</xdr:row>
          <xdr:rowOff>251460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A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on, or before, 30 June 2011.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56</xdr:row>
          <xdr:rowOff>228600</xdr:rowOff>
        </xdr:from>
        <xdr:to>
          <xdr:col>9</xdr:col>
          <xdr:colOff>83820</xdr:colOff>
          <xdr:row>57</xdr:row>
          <xdr:rowOff>228600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A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road infrastructrure contributions is made before close of business 30 June 2011.</a:t>
              </a:r>
            </a:p>
          </xdr:txBody>
        </xdr:sp>
        <xdr:clientData fLocksWithSheet="0"/>
      </xdr:twoCellAnchor>
    </mc:Choice>
    <mc:Fallback/>
  </mc:AlternateContent>
  <xdr:twoCellAnchor>
    <xdr:from>
      <xdr:col>1</xdr:col>
      <xdr:colOff>179070</xdr:colOff>
      <xdr:row>27</xdr:row>
      <xdr:rowOff>57150</xdr:rowOff>
    </xdr:from>
    <xdr:to>
      <xdr:col>12</xdr:col>
      <xdr:colOff>615300</xdr:colOff>
      <xdr:row>30</xdr:row>
      <xdr:rowOff>150647</xdr:rowOff>
    </xdr:to>
    <xdr:sp macro="" textlink="">
      <xdr:nvSpPr>
        <xdr:cNvPr id="16415" name="Text Box 31">
          <a:extLst>
            <a:ext uri="{FF2B5EF4-FFF2-40B4-BE49-F238E27FC236}">
              <a16:creationId xmlns:a16="http://schemas.microsoft.com/office/drawing/2014/main" id="{00000000-0008-0000-0A00-00001F400000}"/>
            </a:ext>
          </a:extLst>
        </xdr:cNvPr>
        <xdr:cNvSpPr txBox="1">
          <a:spLocks noChangeArrowheads="1"/>
        </xdr:cNvSpPr>
      </xdr:nvSpPr>
      <xdr:spPr bwMode="auto">
        <a:xfrm>
          <a:off x="428625" y="7724775"/>
          <a:ext cx="10086975"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23rd March 2010, a waiver of the Road Network Headworks may also be applicable to non-residential development for which the amended policy is effective, but only for those development approvals of land uses which are consistent with the relevant planning scheme and infrastructure planning commensurate with the planning scheme policies, and for which full payment of all infrastructure contributions is made before close of business 30 June 2011. Where this waiver coincides with the waiver of Note 1 above, the most generous wavier shall prevail. It does not apply if a First Principles Assessment has been applied.</a:t>
          </a:r>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16</xdr:row>
          <xdr:rowOff>45720</xdr:rowOff>
        </xdr:from>
        <xdr:to>
          <xdr:col>6</xdr:col>
          <xdr:colOff>693420</xdr:colOff>
          <xdr:row>17</xdr:row>
          <xdr:rowOff>45720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A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32</xdr:row>
          <xdr:rowOff>22860</xdr:rowOff>
        </xdr:from>
        <xdr:to>
          <xdr:col>6</xdr:col>
          <xdr:colOff>693420</xdr:colOff>
          <xdr:row>33</xdr:row>
          <xdr:rowOff>38100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A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417184</xdr:colOff>
      <xdr:row>1</xdr:row>
      <xdr:rowOff>419100</xdr:rowOff>
    </xdr:to>
    <xdr:sp macro="" textlink="">
      <xdr:nvSpPr>
        <xdr:cNvPr id="17409" name="Text Box 1">
          <a:extLst>
            <a:ext uri="{FF2B5EF4-FFF2-40B4-BE49-F238E27FC236}">
              <a16:creationId xmlns:a16="http://schemas.microsoft.com/office/drawing/2014/main" id="{00000000-0008-0000-0B00-000001440000}"/>
            </a:ext>
          </a:extLst>
        </xdr:cNvPr>
        <xdr:cNvSpPr txBox="1">
          <a:spLocks noChangeArrowheads="1"/>
        </xdr:cNvSpPr>
      </xdr:nvSpPr>
      <xdr:spPr bwMode="auto">
        <a:xfrm>
          <a:off x="209550" y="361950"/>
          <a:ext cx="867727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has made a resolution concerning the waiving of sewer and water supply infrastructure contributions. The applicable waiver is calculated from information in the Sewer &amp; Water worksheet, and transferred to the Summary worksheet.</a:t>
          </a:r>
        </a:p>
      </xdr:txBody>
    </xdr:sp>
    <xdr:clientData/>
  </xdr:twoCellAnchor>
  <xdr:twoCellAnchor>
    <xdr:from>
      <xdr:col>1</xdr:col>
      <xdr:colOff>19050</xdr:colOff>
      <xdr:row>1</xdr:row>
      <xdr:rowOff>497205</xdr:rowOff>
    </xdr:from>
    <xdr:to>
      <xdr:col>12</xdr:col>
      <xdr:colOff>0</xdr:colOff>
      <xdr:row>2</xdr:row>
      <xdr:rowOff>333396</xdr:rowOff>
    </xdr:to>
    <xdr:sp macro="" textlink="">
      <xdr:nvSpPr>
        <xdr:cNvPr id="17410" name="Text Box 2">
          <a:extLst>
            <a:ext uri="{FF2B5EF4-FFF2-40B4-BE49-F238E27FC236}">
              <a16:creationId xmlns:a16="http://schemas.microsoft.com/office/drawing/2014/main" id="{00000000-0008-0000-0B00-000002440000}"/>
            </a:ext>
          </a:extLst>
        </xdr:cNvPr>
        <xdr:cNvSpPr txBox="1">
          <a:spLocks noChangeArrowheads="1"/>
        </xdr:cNvSpPr>
      </xdr:nvSpPr>
      <xdr:spPr bwMode="auto">
        <a:xfrm>
          <a:off x="200025" y="847725"/>
          <a:ext cx="89439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28th September 2010, in recognition of stepped demand for different residential lot sizes, a partial waiver of the water supply &amp; sewer is applicable to development involving small freehold residential lots.</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198120</xdr:colOff>
          <xdr:row>9</xdr:row>
          <xdr:rowOff>0</xdr:rowOff>
        </xdr:from>
        <xdr:to>
          <xdr:col>14</xdr:col>
          <xdr:colOff>160020</xdr:colOff>
          <xdr:row>9</xdr:row>
          <xdr:rowOff>182880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average density (e.g., lot size, dwellings, population) is consistent with the specific outcomes and probable solutions of the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198120</xdr:colOff>
          <xdr:row>10</xdr:row>
          <xdr:rowOff>182880</xdr:rowOff>
        </xdr:from>
        <xdr:to>
          <xdr:col>9</xdr:col>
          <xdr:colOff>388620</xdr:colOff>
          <xdr:row>11</xdr:row>
          <xdr:rowOff>182880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C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located within the Priority Infrastructure Area (City of Thuringowa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198120</xdr:colOff>
          <xdr:row>13</xdr:row>
          <xdr:rowOff>0</xdr:rowOff>
        </xdr:from>
        <xdr:to>
          <xdr:col>9</xdr:col>
          <xdr:colOff>388620</xdr:colOff>
          <xdr:row>14</xdr:row>
          <xdr:rowOff>7620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C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Payment of contributions are to be made between 1 July 2012 and 30 June 2014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198120</xdr:colOff>
          <xdr:row>9</xdr:row>
          <xdr:rowOff>190500</xdr:rowOff>
        </xdr:from>
        <xdr:to>
          <xdr:col>7</xdr:col>
          <xdr:colOff>137160</xdr:colOff>
          <xdr:row>10</xdr:row>
          <xdr:rowOff>190500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C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otherwise consistent with the specific outcomes and probable solutions of the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xdr:rowOff>
        </xdr:from>
        <xdr:to>
          <xdr:col>5</xdr:col>
          <xdr:colOff>22860</xdr:colOff>
          <xdr:row>40</xdr:row>
          <xdr:rowOff>30480</xdr:rowOff>
        </xdr:to>
        <xdr:sp macro="" textlink="">
          <xdr:nvSpPr>
            <xdr:cNvPr id="18440" name="Drop Down 8" hidden="1">
              <a:extLst>
                <a:ext uri="{63B3BB69-23CF-44E3-9099-C40C66FF867C}">
                  <a14:compatExt spid="_x0000_s18440"/>
                </a:ext>
                <a:ext uri="{FF2B5EF4-FFF2-40B4-BE49-F238E27FC236}">
                  <a16:creationId xmlns:a16="http://schemas.microsoft.com/office/drawing/2014/main" id="{00000000-0008-0000-0C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22860</xdr:rowOff>
        </xdr:from>
        <xdr:to>
          <xdr:col>5</xdr:col>
          <xdr:colOff>30480</xdr:colOff>
          <xdr:row>41</xdr:row>
          <xdr:rowOff>22860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C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5</xdr:col>
          <xdr:colOff>38100</xdr:colOff>
          <xdr:row>42</xdr:row>
          <xdr:rowOff>7620</xdr:rowOff>
        </xdr:to>
        <xdr:sp macro="" textlink="">
          <xdr:nvSpPr>
            <xdr:cNvPr id="18442" name="Drop Down 10" hidden="1">
              <a:extLst>
                <a:ext uri="{63B3BB69-23CF-44E3-9099-C40C66FF867C}">
                  <a14:compatExt spid="_x0000_s18442"/>
                </a:ext>
                <a:ext uri="{FF2B5EF4-FFF2-40B4-BE49-F238E27FC236}">
                  <a16:creationId xmlns:a16="http://schemas.microsoft.com/office/drawing/2014/main" id="{00000000-0008-0000-0C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5</xdr:col>
          <xdr:colOff>30480</xdr:colOff>
          <xdr:row>43</xdr:row>
          <xdr:rowOff>7620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C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5</xdr:col>
          <xdr:colOff>22860</xdr:colOff>
          <xdr:row>44</xdr:row>
          <xdr:rowOff>7620</xdr:rowOff>
        </xdr:to>
        <xdr:sp macro="" textlink="">
          <xdr:nvSpPr>
            <xdr:cNvPr id="18444" name="Drop Down 12" hidden="1">
              <a:extLst>
                <a:ext uri="{63B3BB69-23CF-44E3-9099-C40C66FF867C}">
                  <a14:compatExt spid="_x0000_s18444"/>
                </a:ext>
                <a:ext uri="{FF2B5EF4-FFF2-40B4-BE49-F238E27FC236}">
                  <a16:creationId xmlns:a16="http://schemas.microsoft.com/office/drawing/2014/main" id="{00000000-0008-0000-0C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7620</xdr:rowOff>
        </xdr:from>
        <xdr:to>
          <xdr:col>5</xdr:col>
          <xdr:colOff>22860</xdr:colOff>
          <xdr:row>53</xdr:row>
          <xdr:rowOff>7620</xdr:rowOff>
        </xdr:to>
        <xdr:sp macro="" textlink="">
          <xdr:nvSpPr>
            <xdr:cNvPr id="18445" name="Drop Down 13" hidden="1">
              <a:extLst>
                <a:ext uri="{63B3BB69-23CF-44E3-9099-C40C66FF867C}">
                  <a14:compatExt spid="_x0000_s18445"/>
                </a:ext>
                <a:ext uri="{FF2B5EF4-FFF2-40B4-BE49-F238E27FC236}">
                  <a16:creationId xmlns:a16="http://schemas.microsoft.com/office/drawing/2014/main" id="{00000000-0008-0000-0C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7620</xdr:rowOff>
        </xdr:from>
        <xdr:to>
          <xdr:col>5</xdr:col>
          <xdr:colOff>22860</xdr:colOff>
          <xdr:row>54</xdr:row>
          <xdr:rowOff>22860</xdr:rowOff>
        </xdr:to>
        <xdr:sp macro="" textlink="">
          <xdr:nvSpPr>
            <xdr:cNvPr id="18446" name="Drop Down 14" hidden="1">
              <a:extLst>
                <a:ext uri="{63B3BB69-23CF-44E3-9099-C40C66FF867C}">
                  <a14:compatExt spid="_x0000_s18446"/>
                </a:ext>
                <a:ext uri="{FF2B5EF4-FFF2-40B4-BE49-F238E27FC236}">
                  <a16:creationId xmlns:a16="http://schemas.microsoft.com/office/drawing/2014/main" id="{00000000-0008-0000-0C00-00000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5</xdr:col>
          <xdr:colOff>22860</xdr:colOff>
          <xdr:row>55</xdr:row>
          <xdr:rowOff>7620</xdr:rowOff>
        </xdr:to>
        <xdr:sp macro="" textlink="">
          <xdr:nvSpPr>
            <xdr:cNvPr id="18447" name="Drop Down 15" hidden="1">
              <a:extLst>
                <a:ext uri="{63B3BB69-23CF-44E3-9099-C40C66FF867C}">
                  <a14:compatExt spid="_x0000_s18447"/>
                </a:ext>
                <a:ext uri="{FF2B5EF4-FFF2-40B4-BE49-F238E27FC236}">
                  <a16:creationId xmlns:a16="http://schemas.microsoft.com/office/drawing/2014/main" id="{00000000-0008-0000-0C00-00000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5</xdr:col>
          <xdr:colOff>30480</xdr:colOff>
          <xdr:row>56</xdr:row>
          <xdr:rowOff>7620</xdr:rowOff>
        </xdr:to>
        <xdr:sp macro="" textlink="">
          <xdr:nvSpPr>
            <xdr:cNvPr id="18448" name="Drop Down 16" hidden="1">
              <a:extLst>
                <a:ext uri="{63B3BB69-23CF-44E3-9099-C40C66FF867C}">
                  <a14:compatExt spid="_x0000_s18448"/>
                </a:ext>
                <a:ext uri="{FF2B5EF4-FFF2-40B4-BE49-F238E27FC236}">
                  <a16:creationId xmlns:a16="http://schemas.microsoft.com/office/drawing/2014/main" id="{00000000-0008-0000-0C00-00001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3</xdr:col>
          <xdr:colOff>160020</xdr:colOff>
          <xdr:row>57</xdr:row>
          <xdr:rowOff>7620</xdr:rowOff>
        </xdr:to>
        <xdr:sp macro="" textlink="">
          <xdr:nvSpPr>
            <xdr:cNvPr id="18449" name="Drop Down 17" hidden="1">
              <a:extLst>
                <a:ext uri="{63B3BB69-23CF-44E3-9099-C40C66FF867C}">
                  <a14:compatExt spid="_x0000_s18449"/>
                </a:ext>
                <a:ext uri="{FF2B5EF4-FFF2-40B4-BE49-F238E27FC236}">
                  <a16:creationId xmlns:a16="http://schemas.microsoft.com/office/drawing/2014/main" id="{00000000-0008-0000-0C00-00001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5</xdr:col>
          <xdr:colOff>22860</xdr:colOff>
          <xdr:row>57</xdr:row>
          <xdr:rowOff>7620</xdr:rowOff>
        </xdr:to>
        <xdr:sp macro="" textlink="">
          <xdr:nvSpPr>
            <xdr:cNvPr id="18450" name="Drop Down 18" hidden="1">
              <a:extLst>
                <a:ext uri="{63B3BB69-23CF-44E3-9099-C40C66FF867C}">
                  <a14:compatExt spid="_x0000_s18450"/>
                </a:ext>
                <a:ext uri="{FF2B5EF4-FFF2-40B4-BE49-F238E27FC236}">
                  <a16:creationId xmlns:a16="http://schemas.microsoft.com/office/drawing/2014/main" id="{00000000-0008-0000-0C00-00001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7620</xdr:rowOff>
        </xdr:from>
        <xdr:to>
          <xdr:col>5</xdr:col>
          <xdr:colOff>22860</xdr:colOff>
          <xdr:row>86</xdr:row>
          <xdr:rowOff>30480</xdr:rowOff>
        </xdr:to>
        <xdr:sp macro="" textlink="">
          <xdr:nvSpPr>
            <xdr:cNvPr id="18451" name="Drop Down 19" hidden="1">
              <a:extLst>
                <a:ext uri="{63B3BB69-23CF-44E3-9099-C40C66FF867C}">
                  <a14:compatExt spid="_x0000_s18451"/>
                </a:ext>
                <a:ext uri="{FF2B5EF4-FFF2-40B4-BE49-F238E27FC236}">
                  <a16:creationId xmlns:a16="http://schemas.microsoft.com/office/drawing/2014/main" id="{00000000-0008-0000-0C00-00001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22860</xdr:rowOff>
        </xdr:from>
        <xdr:to>
          <xdr:col>5</xdr:col>
          <xdr:colOff>22860</xdr:colOff>
          <xdr:row>87</xdr:row>
          <xdr:rowOff>30480</xdr:rowOff>
        </xdr:to>
        <xdr:sp macro="" textlink="">
          <xdr:nvSpPr>
            <xdr:cNvPr id="18452" name="Drop Down 20" hidden="1">
              <a:extLst>
                <a:ext uri="{63B3BB69-23CF-44E3-9099-C40C66FF867C}">
                  <a14:compatExt spid="_x0000_s18452"/>
                </a:ext>
                <a:ext uri="{FF2B5EF4-FFF2-40B4-BE49-F238E27FC236}">
                  <a16:creationId xmlns:a16="http://schemas.microsoft.com/office/drawing/2014/main" id="{00000000-0008-0000-0C00-00001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5</xdr:col>
          <xdr:colOff>30480</xdr:colOff>
          <xdr:row>88</xdr:row>
          <xdr:rowOff>7620</xdr:rowOff>
        </xdr:to>
        <xdr:sp macro="" textlink="">
          <xdr:nvSpPr>
            <xdr:cNvPr id="18453" name="Drop Down 21" hidden="1">
              <a:extLst>
                <a:ext uri="{63B3BB69-23CF-44E3-9099-C40C66FF867C}">
                  <a14:compatExt spid="_x0000_s18453"/>
                </a:ext>
                <a:ext uri="{FF2B5EF4-FFF2-40B4-BE49-F238E27FC236}">
                  <a16:creationId xmlns:a16="http://schemas.microsoft.com/office/drawing/2014/main" id="{00000000-0008-0000-0C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5</xdr:col>
          <xdr:colOff>30480</xdr:colOff>
          <xdr:row>89</xdr:row>
          <xdr:rowOff>7620</xdr:rowOff>
        </xdr:to>
        <xdr:sp macro="" textlink="">
          <xdr:nvSpPr>
            <xdr:cNvPr id="18454" name="Drop Down 22" hidden="1">
              <a:extLst>
                <a:ext uri="{63B3BB69-23CF-44E3-9099-C40C66FF867C}">
                  <a14:compatExt spid="_x0000_s18454"/>
                </a:ext>
                <a:ext uri="{FF2B5EF4-FFF2-40B4-BE49-F238E27FC236}">
                  <a16:creationId xmlns:a16="http://schemas.microsoft.com/office/drawing/2014/main" id="{00000000-0008-0000-0C00-00001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5</xdr:col>
          <xdr:colOff>30480</xdr:colOff>
          <xdr:row>90</xdr:row>
          <xdr:rowOff>7620</xdr:rowOff>
        </xdr:to>
        <xdr:sp macro="" textlink="">
          <xdr:nvSpPr>
            <xdr:cNvPr id="18455" name="Drop Down 23" hidden="1">
              <a:extLst>
                <a:ext uri="{63B3BB69-23CF-44E3-9099-C40C66FF867C}">
                  <a14:compatExt spid="_x0000_s18455"/>
                </a:ext>
                <a:ext uri="{FF2B5EF4-FFF2-40B4-BE49-F238E27FC236}">
                  <a16:creationId xmlns:a16="http://schemas.microsoft.com/office/drawing/2014/main" id="{00000000-0008-0000-0C00-00001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7620</xdr:rowOff>
        </xdr:from>
        <xdr:to>
          <xdr:col>5</xdr:col>
          <xdr:colOff>30480</xdr:colOff>
          <xdr:row>99</xdr:row>
          <xdr:rowOff>22860</xdr:rowOff>
        </xdr:to>
        <xdr:sp macro="" textlink="">
          <xdr:nvSpPr>
            <xdr:cNvPr id="18456" name="Drop Down 24" hidden="1">
              <a:extLst>
                <a:ext uri="{63B3BB69-23CF-44E3-9099-C40C66FF867C}">
                  <a14:compatExt spid="_x0000_s18456"/>
                </a:ext>
                <a:ext uri="{FF2B5EF4-FFF2-40B4-BE49-F238E27FC236}">
                  <a16:creationId xmlns:a16="http://schemas.microsoft.com/office/drawing/2014/main" id="{00000000-0008-0000-0C00-00001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22860</xdr:rowOff>
        </xdr:from>
        <xdr:to>
          <xdr:col>5</xdr:col>
          <xdr:colOff>30480</xdr:colOff>
          <xdr:row>100</xdr:row>
          <xdr:rowOff>30480</xdr:rowOff>
        </xdr:to>
        <xdr:sp macro="" textlink="">
          <xdr:nvSpPr>
            <xdr:cNvPr id="18457" name="Drop Down 25" hidden="1">
              <a:extLst>
                <a:ext uri="{63B3BB69-23CF-44E3-9099-C40C66FF867C}">
                  <a14:compatExt spid="_x0000_s18457"/>
                </a:ext>
                <a:ext uri="{FF2B5EF4-FFF2-40B4-BE49-F238E27FC236}">
                  <a16:creationId xmlns:a16="http://schemas.microsoft.com/office/drawing/2014/main" id="{00000000-0008-0000-0C00-00001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5</xdr:col>
          <xdr:colOff>30480</xdr:colOff>
          <xdr:row>101</xdr:row>
          <xdr:rowOff>7620</xdr:rowOff>
        </xdr:to>
        <xdr:sp macro="" textlink="">
          <xdr:nvSpPr>
            <xdr:cNvPr id="18458" name="Drop Down 26" hidden="1">
              <a:extLst>
                <a:ext uri="{63B3BB69-23CF-44E3-9099-C40C66FF867C}">
                  <a14:compatExt spid="_x0000_s18458"/>
                </a:ext>
                <a:ext uri="{FF2B5EF4-FFF2-40B4-BE49-F238E27FC236}">
                  <a16:creationId xmlns:a16="http://schemas.microsoft.com/office/drawing/2014/main" id="{00000000-0008-0000-0C00-00001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5</xdr:col>
          <xdr:colOff>30480</xdr:colOff>
          <xdr:row>102</xdr:row>
          <xdr:rowOff>7620</xdr:rowOff>
        </xdr:to>
        <xdr:sp macro="" textlink="">
          <xdr:nvSpPr>
            <xdr:cNvPr id="18459" name="Drop Down 27" hidden="1">
              <a:extLst>
                <a:ext uri="{63B3BB69-23CF-44E3-9099-C40C66FF867C}">
                  <a14:compatExt spid="_x0000_s18459"/>
                </a:ext>
                <a:ext uri="{FF2B5EF4-FFF2-40B4-BE49-F238E27FC236}">
                  <a16:creationId xmlns:a16="http://schemas.microsoft.com/office/drawing/2014/main" id="{00000000-0008-0000-0C00-00001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3</xdr:col>
          <xdr:colOff>160020</xdr:colOff>
          <xdr:row>103</xdr:row>
          <xdr:rowOff>7620</xdr:rowOff>
        </xdr:to>
        <xdr:sp macro="" textlink="">
          <xdr:nvSpPr>
            <xdr:cNvPr id="18460" name="Drop Down 28" hidden="1">
              <a:extLst>
                <a:ext uri="{63B3BB69-23CF-44E3-9099-C40C66FF867C}">
                  <a14:compatExt spid="_x0000_s18460"/>
                </a:ext>
                <a:ext uri="{FF2B5EF4-FFF2-40B4-BE49-F238E27FC236}">
                  <a16:creationId xmlns:a16="http://schemas.microsoft.com/office/drawing/2014/main" id="{00000000-0008-0000-0C00-00001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5</xdr:col>
          <xdr:colOff>22860</xdr:colOff>
          <xdr:row>103</xdr:row>
          <xdr:rowOff>7620</xdr:rowOff>
        </xdr:to>
        <xdr:sp macro="" textlink="">
          <xdr:nvSpPr>
            <xdr:cNvPr id="18461" name="Drop Down 29" hidden="1">
              <a:extLst>
                <a:ext uri="{63B3BB69-23CF-44E3-9099-C40C66FF867C}">
                  <a14:compatExt spid="_x0000_s18461"/>
                </a:ext>
                <a:ext uri="{FF2B5EF4-FFF2-40B4-BE49-F238E27FC236}">
                  <a16:creationId xmlns:a16="http://schemas.microsoft.com/office/drawing/2014/main" id="{00000000-0008-0000-0C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179070</xdr:colOff>
      <xdr:row>2</xdr:row>
      <xdr:rowOff>20955</xdr:rowOff>
    </xdr:from>
    <xdr:to>
      <xdr:col>11</xdr:col>
      <xdr:colOff>300987</xdr:colOff>
      <xdr:row>7</xdr:row>
      <xdr:rowOff>66662</xdr:rowOff>
    </xdr:to>
    <xdr:sp macro="" textlink="">
      <xdr:nvSpPr>
        <xdr:cNvPr id="18462" name="Text Box 30">
          <a:extLst>
            <a:ext uri="{FF2B5EF4-FFF2-40B4-BE49-F238E27FC236}">
              <a16:creationId xmlns:a16="http://schemas.microsoft.com/office/drawing/2014/main" id="{00000000-0008-0000-0C00-00001E480000}"/>
            </a:ext>
          </a:extLst>
        </xdr:cNvPr>
        <xdr:cNvSpPr txBox="1">
          <a:spLocks noChangeArrowheads="1"/>
        </xdr:cNvSpPr>
      </xdr:nvSpPr>
      <xdr:spPr bwMode="auto">
        <a:xfrm>
          <a:off x="457200" y="419100"/>
          <a:ext cx="8610600" cy="1304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 2012 to the extent that development within the PIA, consistent with the planning scheme and infrastructure planning may be eligble for infrastructure contribution waivers such that local government infrastructure contributions payable do not exceed the amounts suggested by </a:t>
          </a:r>
          <a:r>
            <a:rPr lang="en-AU" sz="1000" b="0" i="1" u="none" strike="noStrike" baseline="0">
              <a:solidFill>
                <a:srgbClr val="000000"/>
              </a:solidFill>
              <a:latin typeface="Arial"/>
              <a:cs typeface="Arial"/>
            </a:rPr>
            <a:t>Queensland Government response to the report by the infrastructure charges taskforce </a:t>
          </a:r>
          <a:r>
            <a:rPr lang="en-AU" sz="1000" b="0" i="0" u="none" strike="noStrike" baseline="0">
              <a:solidFill>
                <a:srgbClr val="000000"/>
              </a:solidFill>
              <a:latin typeface="Arial"/>
              <a:cs typeface="Arial"/>
            </a:rPr>
            <a:t>(April, 2011). Criteria about the approval and commencement status of the development, and conditions of approval also apply.</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was also empowered to waiver contributions towards local function of State Controlled Roads, and included in the resolution to do so on the same terms, and for the duration that the delegation of that power remains in agreement with the Department of Transport and Main Roads .</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213360</xdr:colOff>
          <xdr:row>11</xdr:row>
          <xdr:rowOff>190500</xdr:rowOff>
        </xdr:from>
        <xdr:to>
          <xdr:col>8</xdr:col>
          <xdr:colOff>198120</xdr:colOff>
          <xdr:row>13</xdr:row>
          <xdr:rowOff>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C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prior to the 1 July 2011 but  no operational works or building works commenced before 1 May 2011.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217170</xdr:colOff>
      <xdr:row>17</xdr:row>
      <xdr:rowOff>38100</xdr:rowOff>
    </xdr:from>
    <xdr:to>
      <xdr:col>10</xdr:col>
      <xdr:colOff>436245</xdr:colOff>
      <xdr:row>18</xdr:row>
      <xdr:rowOff>163860</xdr:rowOff>
    </xdr:to>
    <xdr:sp macro="" textlink="">
      <xdr:nvSpPr>
        <xdr:cNvPr id="19457" name="Text Box 1">
          <a:extLst>
            <a:ext uri="{FF2B5EF4-FFF2-40B4-BE49-F238E27FC236}">
              <a16:creationId xmlns:a16="http://schemas.microsoft.com/office/drawing/2014/main" id="{00000000-0008-0000-0100-0000014C0000}"/>
            </a:ext>
          </a:extLst>
        </xdr:cNvPr>
        <xdr:cNvSpPr txBox="1">
          <a:spLocks noChangeArrowheads="1"/>
        </xdr:cNvSpPr>
      </xdr:nvSpPr>
      <xdr:spPr bwMode="auto">
        <a:xfrm>
          <a:off x="219075" y="3095625"/>
          <a:ext cx="9267825" cy="323850"/>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8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'12 financial quarter should use indices published for Sep 2011).  - note: State Govt. restricted indexation past June 2009 to be no greater than CPI adjustments.</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22860</xdr:colOff>
          <xdr:row>14</xdr:row>
          <xdr:rowOff>7620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5</xdr:col>
          <xdr:colOff>22860</xdr:colOff>
          <xdr:row>17</xdr:row>
          <xdr:rowOff>22860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22860</xdr:colOff>
          <xdr:row>18</xdr:row>
          <xdr:rowOff>7620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2</xdr:row>
          <xdr:rowOff>0</xdr:rowOff>
        </xdr:from>
        <xdr:to>
          <xdr:col>7</xdr:col>
          <xdr:colOff>7620</xdr:colOff>
          <xdr:row>3</xdr:row>
          <xdr:rowOff>45720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152400</xdr:rowOff>
    </xdr:from>
    <xdr:to>
      <xdr:col>11</xdr:col>
      <xdr:colOff>491493</xdr:colOff>
      <xdr:row>1</xdr:row>
      <xdr:rowOff>607794</xdr:rowOff>
    </xdr:to>
    <xdr:sp macro="" textlink="">
      <xdr:nvSpPr>
        <xdr:cNvPr id="14357" name="Text Box 21">
          <a:extLst>
            <a:ext uri="{FF2B5EF4-FFF2-40B4-BE49-F238E27FC236}">
              <a16:creationId xmlns:a16="http://schemas.microsoft.com/office/drawing/2014/main" id="{00000000-0008-0000-0300-000015380000}"/>
            </a:ext>
          </a:extLst>
        </xdr:cNvPr>
        <xdr:cNvSpPr txBox="1">
          <a:spLocks noChangeArrowheads="1"/>
        </xdr:cNvSpPr>
      </xdr:nvSpPr>
      <xdr:spPr bwMode="auto">
        <a:xfrm>
          <a:off x="409575" y="352425"/>
          <a:ext cx="84201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land connected, or Council intends to be connected, or of zoning for which the planning scheme requires connection to the public sewer system (Policy s2).</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22860</xdr:colOff>
          <xdr:row>15</xdr:row>
          <xdr:rowOff>7620</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7620</xdr:rowOff>
        </xdr:from>
        <xdr:to>
          <xdr:col>5</xdr:col>
          <xdr:colOff>22860</xdr:colOff>
          <xdr:row>16</xdr:row>
          <xdr:rowOff>22860</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312420</xdr:colOff>
      <xdr:row>56</xdr:row>
      <xdr:rowOff>1905</xdr:rowOff>
    </xdr:from>
    <xdr:to>
      <xdr:col>2</xdr:col>
      <xdr:colOff>47667</xdr:colOff>
      <xdr:row>59</xdr:row>
      <xdr:rowOff>76275</xdr:rowOff>
    </xdr:to>
    <xdr:sp macro="" textlink="">
      <xdr:nvSpPr>
        <xdr:cNvPr id="14364" name="AutoShape 28">
          <a:hlinkClick xmlns:r="http://schemas.openxmlformats.org/officeDocument/2006/relationships" r:id="rId1"/>
          <a:extLst>
            <a:ext uri="{FF2B5EF4-FFF2-40B4-BE49-F238E27FC236}">
              <a16:creationId xmlns:a16="http://schemas.microsoft.com/office/drawing/2014/main" id="{00000000-0008-0000-0300-00001C380000}"/>
            </a:ext>
          </a:extLst>
        </xdr:cNvPr>
        <xdr:cNvSpPr>
          <a:spLocks noChangeArrowheads="1"/>
        </xdr:cNvSpPr>
      </xdr:nvSpPr>
      <xdr:spPr bwMode="auto">
        <a:xfrm>
          <a:off x="314325" y="10191750"/>
          <a:ext cx="1152525" cy="55245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xdr:twoCellAnchor>
    <xdr:from>
      <xdr:col>2</xdr:col>
      <xdr:colOff>150495</xdr:colOff>
      <xdr:row>57</xdr:row>
      <xdr:rowOff>0</xdr:rowOff>
    </xdr:from>
    <xdr:to>
      <xdr:col>7</xdr:col>
      <xdr:colOff>263537</xdr:colOff>
      <xdr:row>59</xdr:row>
      <xdr:rowOff>142875</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574800" y="10490200"/>
          <a:ext cx="38544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7620</xdr:colOff>
          <xdr:row>16</xdr:row>
          <xdr:rowOff>7620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7620</xdr:rowOff>
        </xdr:from>
        <xdr:to>
          <xdr:col>5</xdr:col>
          <xdr:colOff>7620</xdr:colOff>
          <xdr:row>19</xdr:row>
          <xdr:rowOff>7620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5</xdr:col>
          <xdr:colOff>7620</xdr:colOff>
          <xdr:row>20</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xdr:row>
          <xdr:rowOff>7620</xdr:rowOff>
        </xdr:from>
        <xdr:to>
          <xdr:col>7</xdr:col>
          <xdr:colOff>373380</xdr:colOff>
          <xdr:row>3</xdr:row>
          <xdr:rowOff>60960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255270</xdr:colOff>
      <xdr:row>1</xdr:row>
      <xdr:rowOff>150495</xdr:rowOff>
    </xdr:from>
    <xdr:to>
      <xdr:col>12</xdr:col>
      <xdr:colOff>150495</xdr:colOff>
      <xdr:row>1</xdr:row>
      <xdr:rowOff>645795</xdr:rowOff>
    </xdr:to>
    <xdr:sp macro="" textlink="">
      <xdr:nvSpPr>
        <xdr:cNvPr id="7209" name="Text Box 41">
          <a:extLst>
            <a:ext uri="{FF2B5EF4-FFF2-40B4-BE49-F238E27FC236}">
              <a16:creationId xmlns:a16="http://schemas.microsoft.com/office/drawing/2014/main" id="{00000000-0008-0000-0400-0000291C0000}"/>
            </a:ext>
          </a:extLst>
        </xdr:cNvPr>
        <xdr:cNvSpPr txBox="1">
          <a:spLocks noChangeArrowheads="1"/>
        </xdr:cNvSpPr>
      </xdr:nvSpPr>
      <xdr:spPr bwMode="auto">
        <a:xfrm>
          <a:off x="257175" y="342900"/>
          <a:ext cx="8648700" cy="495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land connected, or Council intends for connection, or of zoning for which the planning scheme requires connection to the public water supply system. Elements of Rupertswood and Rangewood subject to a separate infrastructure agreement are excluded from the policy (Policy s2).</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7221" name="Drop Down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7620</xdr:colOff>
          <xdr:row>18</xdr:row>
          <xdr:rowOff>7620</xdr:rowOff>
        </xdr:to>
        <xdr:sp macro="" textlink="">
          <xdr:nvSpPr>
            <xdr:cNvPr id="7222" name="Drop Down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57150</xdr:colOff>
      <xdr:row>5</xdr:row>
      <xdr:rowOff>133350</xdr:rowOff>
    </xdr:from>
    <xdr:to>
      <xdr:col>16</xdr:col>
      <xdr:colOff>112469</xdr:colOff>
      <xdr:row>8</xdr:row>
      <xdr:rowOff>38338</xdr:rowOff>
    </xdr:to>
    <xdr:sp macro="" textlink="">
      <xdr:nvSpPr>
        <xdr:cNvPr id="7223" name="AutoShape 55">
          <a:hlinkClick xmlns:r="http://schemas.openxmlformats.org/officeDocument/2006/relationships" r:id="rId1"/>
          <a:extLst>
            <a:ext uri="{FF2B5EF4-FFF2-40B4-BE49-F238E27FC236}">
              <a16:creationId xmlns:a16="http://schemas.microsoft.com/office/drawing/2014/main" id="{00000000-0008-0000-0400-0000371C0000}"/>
            </a:ext>
          </a:extLst>
        </xdr:cNvPr>
        <xdr:cNvSpPr>
          <a:spLocks noChangeArrowheads="1"/>
        </xdr:cNvSpPr>
      </xdr:nvSpPr>
      <xdr:spPr bwMode="auto">
        <a:xfrm>
          <a:off x="10410825" y="1628775"/>
          <a:ext cx="762000" cy="38100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xdr:twoCellAnchor>
    <xdr:from>
      <xdr:col>15</xdr:col>
      <xdr:colOff>76200</xdr:colOff>
      <xdr:row>8</xdr:row>
      <xdr:rowOff>76200</xdr:rowOff>
    </xdr:from>
    <xdr:to>
      <xdr:col>18</xdr:col>
      <xdr:colOff>156833</xdr:colOff>
      <xdr:row>11</xdr:row>
      <xdr:rowOff>44514</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0464800" y="2070100"/>
          <a:ext cx="34226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xdr:row>
      <xdr:rowOff>102870</xdr:rowOff>
    </xdr:from>
    <xdr:to>
      <xdr:col>10</xdr:col>
      <xdr:colOff>0</xdr:colOff>
      <xdr:row>1</xdr:row>
      <xdr:rowOff>657251</xdr:rowOff>
    </xdr:to>
    <xdr:sp macro="" textlink="">
      <xdr:nvSpPr>
        <xdr:cNvPr id="10244" name="Text Box 4">
          <a:extLst>
            <a:ext uri="{FF2B5EF4-FFF2-40B4-BE49-F238E27FC236}">
              <a16:creationId xmlns:a16="http://schemas.microsoft.com/office/drawing/2014/main" id="{00000000-0008-0000-0500-000004280000}"/>
            </a:ext>
          </a:extLst>
        </xdr:cNvPr>
        <xdr:cNvSpPr txBox="1">
          <a:spLocks noChangeArrowheads="1"/>
        </xdr:cNvSpPr>
      </xdr:nvSpPr>
      <xdr:spPr bwMode="auto">
        <a:xfrm>
          <a:off x="76200" y="361950"/>
          <a:ext cx="7277100" cy="561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any subdivision of land throughout the City of Thuringowa planning scheme area, other than in the Rural zoned land (Policy s1). Monetary contributions may be applicable in-lieu of land (Policy s3).</a:t>
          </a:r>
        </a:p>
      </xdr:txBody>
    </xdr:sp>
    <xdr:clientData/>
  </xdr:twoCellAnchor>
  <xdr:twoCellAnchor>
    <xdr:from>
      <xdr:col>1</xdr:col>
      <xdr:colOff>66675</xdr:colOff>
      <xdr:row>27</xdr:row>
      <xdr:rowOff>1905</xdr:rowOff>
    </xdr:from>
    <xdr:to>
      <xdr:col>2</xdr:col>
      <xdr:colOff>40017</xdr:colOff>
      <xdr:row>29</xdr:row>
      <xdr:rowOff>74539</xdr:rowOff>
    </xdr:to>
    <xdr:sp macro="" textlink="">
      <xdr:nvSpPr>
        <xdr:cNvPr id="10246" name="AutoShape 6">
          <a:hlinkClick xmlns:r="http://schemas.openxmlformats.org/officeDocument/2006/relationships" r:id="rId1"/>
          <a:extLst>
            <a:ext uri="{FF2B5EF4-FFF2-40B4-BE49-F238E27FC236}">
              <a16:creationId xmlns:a16="http://schemas.microsoft.com/office/drawing/2014/main" id="{00000000-0008-0000-0500-000006280000}"/>
            </a:ext>
          </a:extLst>
        </xdr:cNvPr>
        <xdr:cNvSpPr>
          <a:spLocks noChangeArrowheads="1"/>
        </xdr:cNvSpPr>
      </xdr:nvSpPr>
      <xdr:spPr bwMode="auto">
        <a:xfrm>
          <a:off x="390525" y="5210175"/>
          <a:ext cx="762000" cy="38100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274320</xdr:colOff>
          <xdr:row>7</xdr:row>
          <xdr:rowOff>83820</xdr:rowOff>
        </xdr:from>
        <xdr:to>
          <xdr:col>6</xdr:col>
          <xdr:colOff>304800</xdr:colOff>
          <xdr:row>8</xdr:row>
          <xdr:rowOff>144780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236220</xdr:colOff>
      <xdr:row>1</xdr:row>
      <xdr:rowOff>47625</xdr:rowOff>
    </xdr:from>
    <xdr:to>
      <xdr:col>13</xdr:col>
      <xdr:colOff>445770</xdr:colOff>
      <xdr:row>1</xdr:row>
      <xdr:rowOff>664845</xdr:rowOff>
    </xdr:to>
    <xdr:sp macro="" textlink="">
      <xdr:nvSpPr>
        <xdr:cNvPr id="9219" name="Text Box 3">
          <a:extLst>
            <a:ext uri="{FF2B5EF4-FFF2-40B4-BE49-F238E27FC236}">
              <a16:creationId xmlns:a16="http://schemas.microsoft.com/office/drawing/2014/main" id="{00000000-0008-0000-0600-000003240000}"/>
            </a:ext>
          </a:extLst>
        </xdr:cNvPr>
        <xdr:cNvSpPr txBox="1">
          <a:spLocks noChangeArrowheads="1"/>
        </xdr:cNvSpPr>
      </xdr:nvSpPr>
      <xdr:spPr bwMode="auto">
        <a:xfrm>
          <a:off x="238125" y="257175"/>
          <a:ext cx="81534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an existing Sub-regional centre defined by a map in the policy, which allows Council to accept contributions in-lieu of the shortfall of on-site car parking spaces where it is demonstrated to be impractical, unreasonable, inconsistent with the City Centre Masterplan, and Council's consideration of a traffic impact assessment determines that charges in-lieu of the shortfall are warranted (Policy s2).</a:t>
          </a:r>
        </a:p>
      </xdr:txBody>
    </xdr:sp>
    <xdr:clientData/>
  </xdr:twoCellAnchor>
  <mc:AlternateContent xmlns:mc="http://schemas.openxmlformats.org/markup-compatibility/2006">
    <mc:Choice xmlns:a14="http://schemas.microsoft.com/office/drawing/2010/main" Requires="a14">
      <xdr:twoCellAnchor>
        <xdr:from>
          <xdr:col>0</xdr:col>
          <xdr:colOff>297180</xdr:colOff>
          <xdr:row>5</xdr:row>
          <xdr:rowOff>144780</xdr:rowOff>
        </xdr:from>
        <xdr:to>
          <xdr:col>7</xdr:col>
          <xdr:colOff>266700</xdr:colOff>
          <xdr:row>6</xdr:row>
          <xdr:rowOff>182880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0</xdr:colOff>
          <xdr:row>14</xdr:row>
          <xdr:rowOff>7620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0</xdr:colOff>
          <xdr:row>15</xdr:row>
          <xdr:rowOff>22860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0</xdr:colOff>
          <xdr:row>16</xdr:row>
          <xdr:rowOff>7620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0</xdr:rowOff>
        </xdr:from>
        <xdr:to>
          <xdr:col>5</xdr:col>
          <xdr:colOff>22860</xdr:colOff>
          <xdr:row>22</xdr:row>
          <xdr:rowOff>7620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0</xdr:rowOff>
        </xdr:from>
        <xdr:to>
          <xdr:col>5</xdr:col>
          <xdr:colOff>7620</xdr:colOff>
          <xdr:row>23</xdr:row>
          <xdr:rowOff>7620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22860</xdr:colOff>
          <xdr:row>24</xdr:row>
          <xdr:rowOff>7620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0</xdr:colOff>
          <xdr:row>24</xdr:row>
          <xdr:rowOff>7620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381000</xdr:colOff>
          <xdr:row>3</xdr:row>
          <xdr:rowOff>68580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123825</xdr:rowOff>
    </xdr:from>
    <xdr:to>
      <xdr:col>11</xdr:col>
      <xdr:colOff>407669</xdr:colOff>
      <xdr:row>1</xdr:row>
      <xdr:rowOff>819150</xdr:rowOff>
    </xdr:to>
    <xdr:sp macro="" textlink="">
      <xdr:nvSpPr>
        <xdr:cNvPr id="15380" name="Text Box 20">
          <a:extLst>
            <a:ext uri="{FF2B5EF4-FFF2-40B4-BE49-F238E27FC236}">
              <a16:creationId xmlns:a16="http://schemas.microsoft.com/office/drawing/2014/main" id="{00000000-0008-0000-0700-0000143C0000}"/>
            </a:ext>
          </a:extLst>
        </xdr:cNvPr>
        <xdr:cNvSpPr txBox="1">
          <a:spLocks noChangeArrowheads="1"/>
        </xdr:cNvSpPr>
      </xdr:nvSpPr>
      <xdr:spPr bwMode="auto">
        <a:xfrm>
          <a:off x="390525" y="552450"/>
          <a:ext cx="7086600" cy="695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(Policy s1.6 &amp; Schedule 9F)</a:t>
          </a:r>
        </a:p>
      </xdr:txBody>
    </xdr:sp>
    <xdr:clientData/>
  </xdr:twoCellAnchor>
  <xdr:twoCellAnchor>
    <xdr:from>
      <xdr:col>0</xdr:col>
      <xdr:colOff>312420</xdr:colOff>
      <xdr:row>35</xdr:row>
      <xdr:rowOff>47625</xdr:rowOff>
    </xdr:from>
    <xdr:to>
      <xdr:col>1</xdr:col>
      <xdr:colOff>737115</xdr:colOff>
      <xdr:row>37</xdr:row>
      <xdr:rowOff>104775</xdr:rowOff>
    </xdr:to>
    <xdr:sp macro="" textlink="">
      <xdr:nvSpPr>
        <xdr:cNvPr id="15382" name="AutoShape 22">
          <a:hlinkClick xmlns:r="http://schemas.openxmlformats.org/officeDocument/2006/relationships" r:id="rId1"/>
          <a:extLst>
            <a:ext uri="{FF2B5EF4-FFF2-40B4-BE49-F238E27FC236}">
              <a16:creationId xmlns:a16="http://schemas.microsoft.com/office/drawing/2014/main" id="{00000000-0008-0000-0700-0000163C0000}"/>
            </a:ext>
          </a:extLst>
        </xdr:cNvPr>
        <xdr:cNvSpPr>
          <a:spLocks noChangeArrowheads="1"/>
        </xdr:cNvSpPr>
      </xdr:nvSpPr>
      <xdr:spPr bwMode="auto">
        <a:xfrm>
          <a:off x="314325" y="7458075"/>
          <a:ext cx="762000" cy="38100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xdr:twoCellAnchor>
    <xdr:from>
      <xdr:col>2</xdr:col>
      <xdr:colOff>38100</xdr:colOff>
      <xdr:row>35</xdr:row>
      <xdr:rowOff>76200</xdr:rowOff>
    </xdr:from>
    <xdr:to>
      <xdr:col>7</xdr:col>
      <xdr:colOff>225425</xdr:colOff>
      <xdr:row>38</xdr:row>
      <xdr:rowOff>112475</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1143000" y="7543800"/>
          <a:ext cx="33718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0</xdr:rowOff>
        </xdr:from>
        <xdr:to>
          <xdr:col>4</xdr:col>
          <xdr:colOff>7620</xdr:colOff>
          <xdr:row>11</xdr:row>
          <xdr:rowOff>7620</xdr:rowOff>
        </xdr:to>
        <xdr:sp macro="" textlink="">
          <xdr:nvSpPr>
            <xdr:cNvPr id="11287" name="Drop Down 23" hidden="1">
              <a:extLst>
                <a:ext uri="{63B3BB69-23CF-44E3-9099-C40C66FF867C}">
                  <a14:compatExt spid="_x0000_s11287"/>
                </a:ext>
                <a:ext uri="{FF2B5EF4-FFF2-40B4-BE49-F238E27FC236}">
                  <a16:creationId xmlns:a16="http://schemas.microsoft.com/office/drawing/2014/main" id="{00000000-0008-0000-08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7620</xdr:rowOff>
        </xdr:from>
        <xdr:to>
          <xdr:col>4</xdr:col>
          <xdr:colOff>0</xdr:colOff>
          <xdr:row>12</xdr:row>
          <xdr:rowOff>22860</xdr:rowOff>
        </xdr:to>
        <xdr:sp macro="" textlink="">
          <xdr:nvSpPr>
            <xdr:cNvPr id="11288" name="Drop Down 24" hidden="1">
              <a:extLst>
                <a:ext uri="{63B3BB69-23CF-44E3-9099-C40C66FF867C}">
                  <a14:compatExt spid="_x0000_s11288"/>
                </a:ext>
                <a:ext uri="{FF2B5EF4-FFF2-40B4-BE49-F238E27FC236}">
                  <a16:creationId xmlns:a16="http://schemas.microsoft.com/office/drawing/2014/main" id="{00000000-0008-0000-08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4</xdr:col>
          <xdr:colOff>0</xdr:colOff>
          <xdr:row>13</xdr:row>
          <xdr:rowOff>7620</xdr:rowOff>
        </xdr:to>
        <xdr:sp macro="" textlink="">
          <xdr:nvSpPr>
            <xdr:cNvPr id="11289" name="Drop Down 25" hidden="1">
              <a:extLst>
                <a:ext uri="{63B3BB69-23CF-44E3-9099-C40C66FF867C}">
                  <a14:compatExt spid="_x0000_s11289"/>
                </a:ext>
                <a:ext uri="{FF2B5EF4-FFF2-40B4-BE49-F238E27FC236}">
                  <a16:creationId xmlns:a16="http://schemas.microsoft.com/office/drawing/2014/main" id="{00000000-0008-0000-08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4</xdr:col>
          <xdr:colOff>7620</xdr:colOff>
          <xdr:row>19</xdr:row>
          <xdr:rowOff>7620</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8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4</xdr:col>
          <xdr:colOff>7620</xdr:colOff>
          <xdr:row>20</xdr:row>
          <xdr:rowOff>7620</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8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152400</xdr:rowOff>
        </xdr:from>
        <xdr:to>
          <xdr:col>3</xdr:col>
          <xdr:colOff>944880</xdr:colOff>
          <xdr:row>27</xdr:row>
          <xdr:rowOff>160020</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8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0</xdr:rowOff>
        </xdr:from>
        <xdr:to>
          <xdr:col>4</xdr:col>
          <xdr:colOff>0</xdr:colOff>
          <xdr:row>21</xdr:row>
          <xdr:rowOff>7620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8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5</xdr:row>
          <xdr:rowOff>144780</xdr:rowOff>
        </xdr:from>
        <xdr:to>
          <xdr:col>6</xdr:col>
          <xdr:colOff>350520</xdr:colOff>
          <xdr:row>7</xdr:row>
          <xdr:rowOff>45720</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8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188595</xdr:colOff>
      <xdr:row>1</xdr:row>
      <xdr:rowOff>133350</xdr:rowOff>
    </xdr:from>
    <xdr:to>
      <xdr:col>10</xdr:col>
      <xdr:colOff>133352</xdr:colOff>
      <xdr:row>4</xdr:row>
      <xdr:rowOff>112420</xdr:rowOff>
    </xdr:to>
    <xdr:sp macro="" textlink="">
      <xdr:nvSpPr>
        <xdr:cNvPr id="11295" name="Text Box 31">
          <a:extLst>
            <a:ext uri="{FF2B5EF4-FFF2-40B4-BE49-F238E27FC236}">
              <a16:creationId xmlns:a16="http://schemas.microsoft.com/office/drawing/2014/main" id="{00000000-0008-0000-0800-00001F2C0000}"/>
            </a:ext>
          </a:extLst>
        </xdr:cNvPr>
        <xdr:cNvSpPr txBox="1">
          <a:spLocks noChangeArrowheads="1"/>
        </xdr:cNvSpPr>
      </xdr:nvSpPr>
      <xdr:spPr bwMode="auto">
        <a:xfrm>
          <a:off x="190500" y="676275"/>
          <a:ext cx="717232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 for urban or rural residential development purposes; (ii) serviced, planned to be serviced, or required to be serviced with trunk roads, and; (iii) present an increased demand on the trunk road network.</a:t>
          </a:r>
        </a:p>
      </xdr:txBody>
    </xdr:sp>
    <xdr:clientData/>
  </xdr:twoCellAnchor>
  <xdr:twoCellAnchor>
    <xdr:from>
      <xdr:col>1</xdr:col>
      <xdr:colOff>47625</xdr:colOff>
      <xdr:row>42</xdr:row>
      <xdr:rowOff>40005</xdr:rowOff>
    </xdr:from>
    <xdr:to>
      <xdr:col>2</xdr:col>
      <xdr:colOff>40030</xdr:colOff>
      <xdr:row>44</xdr:row>
      <xdr:rowOff>112639</xdr:rowOff>
    </xdr:to>
    <xdr:sp macro="" textlink="">
      <xdr:nvSpPr>
        <xdr:cNvPr id="11296" name="AutoShape 32">
          <a:hlinkClick xmlns:r="http://schemas.openxmlformats.org/officeDocument/2006/relationships" r:id="rId1"/>
          <a:extLst>
            <a:ext uri="{FF2B5EF4-FFF2-40B4-BE49-F238E27FC236}">
              <a16:creationId xmlns:a16="http://schemas.microsoft.com/office/drawing/2014/main" id="{00000000-0008-0000-0800-0000202C0000}"/>
            </a:ext>
          </a:extLst>
        </xdr:cNvPr>
        <xdr:cNvSpPr>
          <a:spLocks noChangeArrowheads="1"/>
        </xdr:cNvSpPr>
      </xdr:nvSpPr>
      <xdr:spPr bwMode="auto">
        <a:xfrm>
          <a:off x="390525" y="7953375"/>
          <a:ext cx="762000" cy="38100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xdr:twoCellAnchor>
    <xdr:from>
      <xdr:col>2</xdr:col>
      <xdr:colOff>114300</xdr:colOff>
      <xdr:row>42</xdr:row>
      <xdr:rowOff>112395</xdr:rowOff>
    </xdr:from>
    <xdr:to>
      <xdr:col>7</xdr:col>
      <xdr:colOff>345435</xdr:colOff>
      <xdr:row>45</xdr:row>
      <xdr:rowOff>82656</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19200" y="8089900"/>
          <a:ext cx="41719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152400</xdr:rowOff>
        </xdr:from>
        <xdr:to>
          <xdr:col>6</xdr:col>
          <xdr:colOff>327660</xdr:colOff>
          <xdr:row>6</xdr:row>
          <xdr:rowOff>160020</xdr:rowOff>
        </xdr:to>
        <xdr:sp macro="" textlink="">
          <xdr:nvSpPr>
            <xdr:cNvPr id="12324" name="Drop Down 36" hidden="1">
              <a:extLst>
                <a:ext uri="{63B3BB69-23CF-44E3-9099-C40C66FF867C}">
                  <a14:compatExt spid="_x0000_s12324"/>
                </a:ext>
                <a:ext uri="{FF2B5EF4-FFF2-40B4-BE49-F238E27FC236}">
                  <a16:creationId xmlns:a16="http://schemas.microsoft.com/office/drawing/2014/main" id="{00000000-0008-0000-09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7620</xdr:rowOff>
        </xdr:from>
        <xdr:to>
          <xdr:col>4</xdr:col>
          <xdr:colOff>22860</xdr:colOff>
          <xdr:row>11</xdr:row>
          <xdr:rowOff>7620</xdr:rowOff>
        </xdr:to>
        <xdr:sp macro="" textlink="">
          <xdr:nvSpPr>
            <xdr:cNvPr id="12325" name="Drop Down 37" hidden="1">
              <a:extLst>
                <a:ext uri="{63B3BB69-23CF-44E3-9099-C40C66FF867C}">
                  <a14:compatExt spid="_x0000_s12325"/>
                </a:ext>
                <a:ext uri="{FF2B5EF4-FFF2-40B4-BE49-F238E27FC236}">
                  <a16:creationId xmlns:a16="http://schemas.microsoft.com/office/drawing/2014/main" id="{00000000-0008-0000-09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4</xdr:col>
          <xdr:colOff>7620</xdr:colOff>
          <xdr:row>12</xdr:row>
          <xdr:rowOff>0</xdr:rowOff>
        </xdr:to>
        <xdr:sp macro="" textlink="">
          <xdr:nvSpPr>
            <xdr:cNvPr id="12326" name="Drop Down 38" hidden="1">
              <a:extLst>
                <a:ext uri="{63B3BB69-23CF-44E3-9099-C40C66FF867C}">
                  <a14:compatExt spid="_x0000_s12326"/>
                </a:ext>
                <a:ext uri="{FF2B5EF4-FFF2-40B4-BE49-F238E27FC236}">
                  <a16:creationId xmlns:a16="http://schemas.microsoft.com/office/drawing/2014/main" id="{00000000-0008-0000-09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11</xdr:row>
          <xdr:rowOff>190500</xdr:rowOff>
        </xdr:from>
        <xdr:to>
          <xdr:col>4</xdr:col>
          <xdr:colOff>7620</xdr:colOff>
          <xdr:row>12</xdr:row>
          <xdr:rowOff>190500</xdr:rowOff>
        </xdr:to>
        <xdr:sp macro="" textlink="">
          <xdr:nvSpPr>
            <xdr:cNvPr id="12327" name="Drop Down 39" hidden="1">
              <a:extLst>
                <a:ext uri="{63B3BB69-23CF-44E3-9099-C40C66FF867C}">
                  <a14:compatExt spid="_x0000_s12327"/>
                </a:ext>
                <a:ext uri="{FF2B5EF4-FFF2-40B4-BE49-F238E27FC236}">
                  <a16:creationId xmlns:a16="http://schemas.microsoft.com/office/drawing/2014/main" id="{00000000-0008-0000-09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7620</xdr:rowOff>
        </xdr:from>
        <xdr:to>
          <xdr:col>4</xdr:col>
          <xdr:colOff>22860</xdr:colOff>
          <xdr:row>18</xdr:row>
          <xdr:rowOff>22860</xdr:rowOff>
        </xdr:to>
        <xdr:sp macro="" textlink="">
          <xdr:nvSpPr>
            <xdr:cNvPr id="12328" name="Drop Down 40" hidden="1">
              <a:extLst>
                <a:ext uri="{63B3BB69-23CF-44E3-9099-C40C66FF867C}">
                  <a14:compatExt spid="_x0000_s12328"/>
                </a:ext>
                <a:ext uri="{FF2B5EF4-FFF2-40B4-BE49-F238E27FC236}">
                  <a16:creationId xmlns:a16="http://schemas.microsoft.com/office/drawing/2014/main" id="{00000000-0008-0000-09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4</xdr:col>
          <xdr:colOff>7620</xdr:colOff>
          <xdr:row>19</xdr:row>
          <xdr:rowOff>7620</xdr:rowOff>
        </xdr:to>
        <xdr:sp macro="" textlink="">
          <xdr:nvSpPr>
            <xdr:cNvPr id="12329" name="Drop Down 41" hidden="1">
              <a:extLst>
                <a:ext uri="{63B3BB69-23CF-44E3-9099-C40C66FF867C}">
                  <a14:compatExt spid="_x0000_s12329"/>
                </a:ext>
                <a:ext uri="{FF2B5EF4-FFF2-40B4-BE49-F238E27FC236}">
                  <a16:creationId xmlns:a16="http://schemas.microsoft.com/office/drawing/2014/main" id="{00000000-0008-0000-09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19</xdr:row>
          <xdr:rowOff>0</xdr:rowOff>
        </xdr:from>
        <xdr:to>
          <xdr:col>4</xdr:col>
          <xdr:colOff>7620</xdr:colOff>
          <xdr:row>20</xdr:row>
          <xdr:rowOff>7620</xdr:rowOff>
        </xdr:to>
        <xdr:sp macro="" textlink="">
          <xdr:nvSpPr>
            <xdr:cNvPr id="12330" name="Drop Down 42" hidden="1">
              <a:extLst>
                <a:ext uri="{63B3BB69-23CF-44E3-9099-C40C66FF867C}">
                  <a14:compatExt spid="_x0000_s12330"/>
                </a:ext>
                <a:ext uri="{FF2B5EF4-FFF2-40B4-BE49-F238E27FC236}">
                  <a16:creationId xmlns:a16="http://schemas.microsoft.com/office/drawing/2014/main" id="{00000000-0008-0000-09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152400</xdr:rowOff>
        </xdr:from>
        <xdr:to>
          <xdr:col>4</xdr:col>
          <xdr:colOff>30480</xdr:colOff>
          <xdr:row>26</xdr:row>
          <xdr:rowOff>38100</xdr:rowOff>
        </xdr:to>
        <xdr:sp macro="" textlink="">
          <xdr:nvSpPr>
            <xdr:cNvPr id="12331" name="Drop Down 43" hidden="1">
              <a:extLst>
                <a:ext uri="{63B3BB69-23CF-44E3-9099-C40C66FF867C}">
                  <a14:compatExt spid="_x0000_s12331"/>
                </a:ext>
                <a:ext uri="{FF2B5EF4-FFF2-40B4-BE49-F238E27FC236}">
                  <a16:creationId xmlns:a16="http://schemas.microsoft.com/office/drawing/2014/main" id="{00000000-0008-0000-09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76200</xdr:rowOff>
    </xdr:from>
    <xdr:to>
      <xdr:col>11</xdr:col>
      <xdr:colOff>331469</xdr:colOff>
      <xdr:row>4</xdr:row>
      <xdr:rowOff>57309</xdr:rowOff>
    </xdr:to>
    <xdr:sp macro="" textlink="">
      <xdr:nvSpPr>
        <xdr:cNvPr id="12333" name="Text Box 45">
          <a:extLst>
            <a:ext uri="{FF2B5EF4-FFF2-40B4-BE49-F238E27FC236}">
              <a16:creationId xmlns:a16="http://schemas.microsoft.com/office/drawing/2014/main" id="{00000000-0008-0000-0900-00002D300000}"/>
            </a:ext>
          </a:extLst>
        </xdr:cNvPr>
        <xdr:cNvSpPr txBox="1">
          <a:spLocks noChangeArrowheads="1"/>
        </xdr:cNvSpPr>
      </xdr:nvSpPr>
      <xdr:spPr bwMode="auto">
        <a:xfrm>
          <a:off x="390525" y="552450"/>
          <a:ext cx="717232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 for urban or rural residential development purposes; (ii) serviced, planned to be serviced, or required to be serviced with trunk stormwater and; (iii) present an increased demand on the trunk stormwater network.</a:t>
          </a:r>
        </a:p>
      </xdr:txBody>
    </xdr:sp>
    <xdr:clientData/>
  </xdr:twoCellAnchor>
  <xdr:twoCellAnchor>
    <xdr:from>
      <xdr:col>0</xdr:col>
      <xdr:colOff>331470</xdr:colOff>
      <xdr:row>34</xdr:row>
      <xdr:rowOff>95250</xdr:rowOff>
    </xdr:from>
    <xdr:to>
      <xdr:col>1</xdr:col>
      <xdr:colOff>756431</xdr:colOff>
      <xdr:row>37</xdr:row>
      <xdr:rowOff>238</xdr:rowOff>
    </xdr:to>
    <xdr:sp macro="" textlink="">
      <xdr:nvSpPr>
        <xdr:cNvPr id="12334" name="AutoShape 46">
          <a:hlinkClick xmlns:r="http://schemas.openxmlformats.org/officeDocument/2006/relationships" r:id="rId1"/>
          <a:extLst>
            <a:ext uri="{FF2B5EF4-FFF2-40B4-BE49-F238E27FC236}">
              <a16:creationId xmlns:a16="http://schemas.microsoft.com/office/drawing/2014/main" id="{00000000-0008-0000-0900-00002E300000}"/>
            </a:ext>
          </a:extLst>
        </xdr:cNvPr>
        <xdr:cNvSpPr>
          <a:spLocks noChangeArrowheads="1"/>
        </xdr:cNvSpPr>
      </xdr:nvSpPr>
      <xdr:spPr bwMode="auto">
        <a:xfrm>
          <a:off x="333375" y="6429375"/>
          <a:ext cx="762000" cy="381000"/>
        </a:xfrm>
        <a:prstGeom prst="bevel">
          <a:avLst>
            <a:gd name="adj" fmla="val 11366"/>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PRINT</a:t>
          </a:r>
        </a:p>
      </xdr:txBody>
    </xdr:sp>
    <xdr:clientData/>
  </xdr:twoCellAnchor>
  <xdr:twoCellAnchor>
    <xdr:from>
      <xdr:col>1</xdr:col>
      <xdr:colOff>778510</xdr:colOff>
      <xdr:row>34</xdr:row>
      <xdr:rowOff>117475</xdr:rowOff>
    </xdr:from>
    <xdr:to>
      <xdr:col>7</xdr:col>
      <xdr:colOff>64780</xdr:colOff>
      <xdr:row>37</xdr:row>
      <xdr:rowOff>120650</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117600" y="6540500"/>
          <a:ext cx="3359150" cy="4984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8.v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10.xml"/><Relationship Id="rId16" Type="http://schemas.openxmlformats.org/officeDocument/2006/relationships/ctrlProp" Target="../ctrlProps/ctrlProp51.xml"/><Relationship Id="rId1" Type="http://schemas.openxmlformats.org/officeDocument/2006/relationships/printerSettings" Target="../printerSettings/printerSettings11.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9.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1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13.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N35"/>
  <sheetViews>
    <sheetView showGridLines="0" tabSelected="1" zoomScaleNormal="100" workbookViewId="0">
      <selection activeCell="B39" sqref="B39"/>
    </sheetView>
  </sheetViews>
  <sheetFormatPr defaultColWidth="9.109375" defaultRowHeight="13.2" x14ac:dyDescent="0.25"/>
  <cols>
    <col min="1" max="1" width="2.109375" style="132" customWidth="1"/>
    <col min="2" max="15" width="9.109375" style="132"/>
    <col min="16" max="16" width="9.33203125" style="132" bestFit="1" customWidth="1"/>
    <col min="17" max="16384" width="9.109375" style="132"/>
  </cols>
  <sheetData>
    <row r="2" spans="2:2" x14ac:dyDescent="0.25">
      <c r="B2" s="132" t="s">
        <v>540</v>
      </c>
    </row>
    <row r="4" spans="2:2" ht="30" x14ac:dyDescent="0.5">
      <c r="B4" s="133" t="s">
        <v>539</v>
      </c>
    </row>
    <row r="5" spans="2:2" ht="22.8" x14ac:dyDescent="0.4">
      <c r="B5" s="134" t="s">
        <v>595</v>
      </c>
    </row>
    <row r="6" spans="2:2" ht="15" customHeight="1" x14ac:dyDescent="0.4">
      <c r="B6" s="134"/>
    </row>
    <row r="7" spans="2:2" ht="15" x14ac:dyDescent="0.25">
      <c r="B7" s="508" t="str">
        <f>+"Version "&amp;INDEX(Amendments!$A$2:$A$73,MATCH(MAX(Amendments!B2:B73),Amendments!B2:B73,0))</f>
        <v>Version 5.62</v>
      </c>
    </row>
    <row r="9" spans="2:2" x14ac:dyDescent="0.25">
      <c r="B9" s="132" t="s">
        <v>596</v>
      </c>
    </row>
    <row r="10" spans="2:2" x14ac:dyDescent="0.25">
      <c r="B10" s="135" t="s">
        <v>234</v>
      </c>
    </row>
    <row r="11" spans="2:2" x14ac:dyDescent="0.25">
      <c r="B11" s="135"/>
    </row>
    <row r="12" spans="2:2" x14ac:dyDescent="0.25">
      <c r="B12" s="136" t="s">
        <v>799</v>
      </c>
    </row>
    <row r="13" spans="2:2" x14ac:dyDescent="0.25">
      <c r="B13" s="498" t="s">
        <v>798</v>
      </c>
    </row>
    <row r="14" spans="2:2" x14ac:dyDescent="0.25">
      <c r="B14" s="498" t="s">
        <v>625</v>
      </c>
    </row>
    <row r="15" spans="2:2" x14ac:dyDescent="0.25">
      <c r="B15" s="498" t="s">
        <v>635</v>
      </c>
    </row>
    <row r="16" spans="2:2" x14ac:dyDescent="0.25">
      <c r="B16" s="498" t="s">
        <v>633</v>
      </c>
    </row>
    <row r="17" spans="2:2" x14ac:dyDescent="0.25">
      <c r="B17" s="498"/>
    </row>
    <row r="18" spans="2:2" x14ac:dyDescent="0.25">
      <c r="B18" s="136" t="s">
        <v>800</v>
      </c>
    </row>
    <row r="19" spans="2:2" x14ac:dyDescent="0.25">
      <c r="B19" s="498" t="s">
        <v>634</v>
      </c>
    </row>
    <row r="20" spans="2:2" x14ac:dyDescent="0.25">
      <c r="B20" s="498" t="s">
        <v>629</v>
      </c>
    </row>
    <row r="21" spans="2:2" x14ac:dyDescent="0.25">
      <c r="B21" s="498" t="s">
        <v>630</v>
      </c>
    </row>
    <row r="22" spans="2:2" x14ac:dyDescent="0.25">
      <c r="B22" s="498" t="s">
        <v>631</v>
      </c>
    </row>
    <row r="23" spans="2:2" x14ac:dyDescent="0.25">
      <c r="B23" s="499" t="s">
        <v>627</v>
      </c>
    </row>
    <row r="24" spans="2:2" x14ac:dyDescent="0.25">
      <c r="B24" s="498" t="s">
        <v>632</v>
      </c>
    </row>
    <row r="25" spans="2:2" x14ac:dyDescent="0.25">
      <c r="B25" s="498"/>
    </row>
    <row r="26" spans="2:2" x14ac:dyDescent="0.25">
      <c r="B26" s="136" t="s">
        <v>801</v>
      </c>
    </row>
    <row r="27" spans="2:2" x14ac:dyDescent="0.25">
      <c r="B27" s="498" t="s">
        <v>541</v>
      </c>
    </row>
    <row r="28" spans="2:2" x14ac:dyDescent="0.25">
      <c r="B28" s="498" t="s">
        <v>220</v>
      </c>
    </row>
    <row r="29" spans="2:2" x14ac:dyDescent="0.25">
      <c r="B29" s="498" t="s">
        <v>542</v>
      </c>
    </row>
    <row r="30" spans="2:2" x14ac:dyDescent="0.25">
      <c r="B30" s="498" t="s">
        <v>850</v>
      </c>
    </row>
    <row r="31" spans="2:2" x14ac:dyDescent="0.25">
      <c r="B31" s="498" t="s">
        <v>628</v>
      </c>
    </row>
    <row r="32" spans="2:2" x14ac:dyDescent="0.25">
      <c r="B32" s="498" t="s">
        <v>626</v>
      </c>
    </row>
    <row r="33" spans="2:14" x14ac:dyDescent="0.25">
      <c r="B33" s="498"/>
    </row>
    <row r="34" spans="2:14" x14ac:dyDescent="0.25">
      <c r="B34" s="136" t="s">
        <v>830</v>
      </c>
    </row>
    <row r="35" spans="2:14" ht="45.75" customHeight="1" x14ac:dyDescent="0.25">
      <c r="B35" s="582" t="s">
        <v>852</v>
      </c>
      <c r="C35" s="583"/>
      <c r="D35" s="583"/>
      <c r="E35" s="583"/>
      <c r="F35" s="583"/>
      <c r="G35" s="583"/>
      <c r="H35" s="583"/>
      <c r="I35" s="583"/>
      <c r="J35" s="583"/>
      <c r="K35" s="583"/>
      <c r="L35" s="583"/>
      <c r="M35" s="583"/>
      <c r="N35" s="583"/>
    </row>
  </sheetData>
  <sheetProtection algorithmName="SHA-512" hashValue="SFK6L4bYRK350pMh6IdIELwNo4rpNCUme5+azuQ+oOze+azhdg4PLCOg+JmCoiAiYZ87ril6f51AJMBcqrScBg==" saltValue="NLqHM72SrP1Pb9Nv9Nuy4A==" spinCount="100000" sheet="1" objects="1" scenarios="1"/>
  <mergeCells count="1">
    <mergeCell ref="B35:N35"/>
  </mergeCells>
  <phoneticPr fontId="4" type="noConversion"/>
  <pageMargins left="0.75" right="0.75" top="1" bottom="1" header="0.5" footer="0.5"/>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W160"/>
  <sheetViews>
    <sheetView showGridLines="0" zoomScale="75" workbookViewId="0">
      <selection activeCell="H11" sqref="H11"/>
    </sheetView>
  </sheetViews>
  <sheetFormatPr defaultColWidth="9.109375" defaultRowHeight="13.2" x14ac:dyDescent="0.25"/>
  <cols>
    <col min="1" max="1" width="5.109375" style="132" customWidth="1"/>
    <col min="2" max="2" width="13.109375" style="132" customWidth="1"/>
    <col min="3" max="3" width="11.6640625" style="132" customWidth="1"/>
    <col min="4" max="5" width="9" style="132" customWidth="1"/>
    <col min="6" max="7" width="9.109375" style="132"/>
    <col min="8" max="8" width="11.5546875" style="132" customWidth="1"/>
    <col min="9" max="9" width="10.33203125" style="132" customWidth="1"/>
    <col min="10" max="10" width="9.109375" style="132"/>
    <col min="11" max="11" width="11.33203125" style="132" customWidth="1"/>
    <col min="12" max="17" width="9.109375" style="132"/>
    <col min="18" max="18" width="12.109375" style="132" customWidth="1"/>
    <col min="19" max="19" width="16" style="132" customWidth="1"/>
    <col min="20" max="20" width="11.88671875" style="132" customWidth="1"/>
    <col min="21" max="22" width="9.109375" style="132"/>
    <col min="23" max="23" width="9.109375" style="132" hidden="1" customWidth="1"/>
    <col min="24" max="25" width="9.109375" style="132"/>
    <col min="26" max="26" width="12.109375" style="132" customWidth="1"/>
    <col min="27" max="16384" width="9.109375" style="132"/>
  </cols>
  <sheetData>
    <row r="1" spans="1:23" ht="37.5" customHeight="1" x14ac:dyDescent="0.25">
      <c r="A1" s="732" t="s">
        <v>767</v>
      </c>
      <c r="B1" s="709"/>
      <c r="C1" s="709"/>
      <c r="D1" s="709"/>
      <c r="E1" s="709"/>
      <c r="F1" s="709"/>
      <c r="G1" s="709"/>
      <c r="H1" s="709"/>
      <c r="I1" s="709"/>
      <c r="N1" s="237" t="s">
        <v>16</v>
      </c>
    </row>
    <row r="2" spans="1:23" ht="15.6" x14ac:dyDescent="0.3">
      <c r="A2" s="233"/>
      <c r="O2" s="237"/>
    </row>
    <row r="3" spans="1:23" ht="15.6" x14ac:dyDescent="0.3">
      <c r="A3" s="233"/>
      <c r="O3" s="237"/>
    </row>
    <row r="4" spans="1:23" ht="15.6" x14ac:dyDescent="0.3">
      <c r="A4" s="233"/>
      <c r="O4" s="237"/>
    </row>
    <row r="5" spans="1:23" ht="15.6" x14ac:dyDescent="0.3">
      <c r="A5" s="233"/>
      <c r="O5" s="237"/>
    </row>
    <row r="6" spans="1:23" x14ac:dyDescent="0.25">
      <c r="E6" s="158"/>
      <c r="F6" s="158"/>
      <c r="G6" s="158"/>
      <c r="H6" s="158"/>
      <c r="I6" s="158"/>
      <c r="J6" s="158"/>
      <c r="K6" s="158"/>
      <c r="L6" s="158"/>
      <c r="M6" s="158"/>
      <c r="N6" s="158"/>
      <c r="O6" s="158"/>
    </row>
    <row r="7" spans="1:23" ht="15" customHeight="1" x14ac:dyDescent="0.25">
      <c r="A7" s="157" t="s">
        <v>536</v>
      </c>
      <c r="B7" s="159" t="s">
        <v>522</v>
      </c>
      <c r="W7" s="160">
        <v>1</v>
      </c>
    </row>
    <row r="8" spans="1:23" x14ac:dyDescent="0.25">
      <c r="W8" s="160"/>
    </row>
    <row r="9" spans="1:23" x14ac:dyDescent="0.25">
      <c r="A9" s="157" t="s">
        <v>529</v>
      </c>
      <c r="B9" s="159" t="s">
        <v>17</v>
      </c>
      <c r="W9" s="160"/>
    </row>
    <row r="10" spans="1:23" ht="15.75" customHeight="1" x14ac:dyDescent="0.25">
      <c r="B10" s="607" t="s">
        <v>524</v>
      </c>
      <c r="C10" s="608"/>
      <c r="D10" s="608"/>
      <c r="E10" s="607" t="s">
        <v>509</v>
      </c>
      <c r="F10" s="608"/>
      <c r="G10" s="609"/>
      <c r="H10" s="7" t="s">
        <v>525</v>
      </c>
      <c r="I10" s="7" t="s">
        <v>768</v>
      </c>
      <c r="J10" s="66" t="s">
        <v>18</v>
      </c>
      <c r="W10" s="160"/>
    </row>
    <row r="11" spans="1:23" ht="15.75" customHeight="1" x14ac:dyDescent="0.25">
      <c r="B11" s="236"/>
      <c r="C11" s="161"/>
      <c r="D11" s="161"/>
      <c r="E11" s="645" t="str">
        <f>+IF(W11&gt;1,INDEX($S$72:$S$77,W11),"")</f>
        <v/>
      </c>
      <c r="F11" s="731"/>
      <c r="G11" s="646"/>
      <c r="H11" s="100"/>
      <c r="I11" s="12" t="str">
        <f>+IF(W11&gt;1,INDEX($T$72:$T$77,W11)," ")</f>
        <v xml:space="preserve"> </v>
      </c>
      <c r="J11" s="1" t="str">
        <f>+IF(I11=" ","",H11*I11)</f>
        <v/>
      </c>
      <c r="W11" s="160">
        <v>1</v>
      </c>
    </row>
    <row r="12" spans="1:23" ht="15.75" customHeight="1" x14ac:dyDescent="0.25">
      <c r="B12" s="236"/>
      <c r="C12" s="161"/>
      <c r="D12" s="161"/>
      <c r="E12" s="645" t="str">
        <f>+IF(W12&gt;1,INDEX($S$72:$S$77,W12),"")</f>
        <v/>
      </c>
      <c r="F12" s="731"/>
      <c r="G12" s="646"/>
      <c r="H12" s="100"/>
      <c r="I12" s="12" t="str">
        <f>+IF(W12&gt;1,INDEX($T$72:$T$77,W12)," ")</f>
        <v xml:space="preserve"> </v>
      </c>
      <c r="J12" s="1" t="str">
        <f>+IF(I12=" ","",H12*I12)</f>
        <v/>
      </c>
      <c r="W12" s="160">
        <v>1</v>
      </c>
    </row>
    <row r="13" spans="1:23" ht="15.75" customHeight="1" x14ac:dyDescent="0.25">
      <c r="E13" s="645" t="str">
        <f>+IF(W13&gt;1,INDEX($S$72:$S$77,W13),"")</f>
        <v/>
      </c>
      <c r="F13" s="731"/>
      <c r="G13" s="646"/>
      <c r="H13" s="100"/>
      <c r="I13" s="12" t="str">
        <f>+IF(W13&gt;1,INDEX($T$72:$T$77,W13)," ")</f>
        <v xml:space="preserve"> </v>
      </c>
      <c r="J13" s="1" t="str">
        <f>+IF(I13=" ","",H13*I13)</f>
        <v/>
      </c>
      <c r="W13" s="160">
        <v>1</v>
      </c>
    </row>
    <row r="14" spans="1:23" x14ac:dyDescent="0.25">
      <c r="I14" s="165" t="s">
        <v>528</v>
      </c>
      <c r="J14" s="19">
        <f>SUM(J11:J13)</f>
        <v>0</v>
      </c>
      <c r="W14" s="160"/>
    </row>
    <row r="15" spans="1:23" x14ac:dyDescent="0.25">
      <c r="W15" s="160"/>
    </row>
    <row r="16" spans="1:23" x14ac:dyDescent="0.25">
      <c r="A16" s="157" t="s">
        <v>530</v>
      </c>
      <c r="B16" s="159" t="s">
        <v>19</v>
      </c>
      <c r="W16" s="160"/>
    </row>
    <row r="17" spans="1:23" x14ac:dyDescent="0.25">
      <c r="B17" s="607" t="s">
        <v>524</v>
      </c>
      <c r="C17" s="608"/>
      <c r="D17" s="608"/>
      <c r="E17" s="607" t="s">
        <v>509</v>
      </c>
      <c r="F17" s="608"/>
      <c r="G17" s="609"/>
      <c r="H17" s="7" t="s">
        <v>525</v>
      </c>
      <c r="I17" s="7" t="s">
        <v>768</v>
      </c>
      <c r="J17" s="66" t="s">
        <v>18</v>
      </c>
      <c r="W17" s="160"/>
    </row>
    <row r="18" spans="1:23" ht="15" customHeight="1" x14ac:dyDescent="0.25">
      <c r="B18" s="236"/>
      <c r="C18" s="161"/>
      <c r="D18" s="161"/>
      <c r="E18" s="645" t="str">
        <f>+IF(W18&gt;1,INDEX($S$72:$S$77,W18),"")</f>
        <v/>
      </c>
      <c r="F18" s="731"/>
      <c r="G18" s="646"/>
      <c r="H18" s="100"/>
      <c r="I18" s="12" t="str">
        <f>+IF(W18&gt;1,INDEX($T$72:$T$77,W18)," ")</f>
        <v xml:space="preserve"> </v>
      </c>
      <c r="J18" s="1" t="str">
        <f>+IF(I18=" ","",H18*I18)</f>
        <v/>
      </c>
      <c r="W18" s="160">
        <v>1</v>
      </c>
    </row>
    <row r="19" spans="1:23" ht="15" customHeight="1" x14ac:dyDescent="0.25">
      <c r="B19" s="236"/>
      <c r="C19" s="161"/>
      <c r="D19" s="161"/>
      <c r="E19" s="645" t="str">
        <f>+IF(W19&gt;1,INDEX($S$72:$S$77,W19),"")</f>
        <v/>
      </c>
      <c r="F19" s="731"/>
      <c r="G19" s="646"/>
      <c r="H19" s="100"/>
      <c r="I19" s="12" t="str">
        <f>+IF(W19&gt;1,INDEX($T$72:$T$77,W19)," ")</f>
        <v xml:space="preserve"> </v>
      </c>
      <c r="J19" s="1" t="str">
        <f>+IF(I19=" ","",H19*I19)</f>
        <v/>
      </c>
      <c r="W19" s="160">
        <v>1</v>
      </c>
    </row>
    <row r="20" spans="1:23" ht="15" customHeight="1" x14ac:dyDescent="0.25">
      <c r="E20" s="645" t="str">
        <f>+IF(W20&gt;1,INDEX($S$72:$S$77,W20),"")</f>
        <v/>
      </c>
      <c r="F20" s="731"/>
      <c r="G20" s="646"/>
      <c r="H20" s="100"/>
      <c r="I20" s="12" t="str">
        <f>+IF(W20&gt;1,INDEX($T$72:$T$77,W20)," ")</f>
        <v xml:space="preserve"> </v>
      </c>
      <c r="J20" s="1" t="str">
        <f>+IF(I20=" ","",H20*I20)</f>
        <v/>
      </c>
      <c r="W20" s="160">
        <v>1</v>
      </c>
    </row>
    <row r="21" spans="1:23" ht="15" customHeight="1" x14ac:dyDescent="0.25">
      <c r="I21" s="165" t="s">
        <v>528</v>
      </c>
      <c r="J21" s="19">
        <f>SUM(J18:J20)</f>
        <v>0</v>
      </c>
      <c r="W21" s="160">
        <v>1</v>
      </c>
    </row>
    <row r="22" spans="1:23" ht="15" customHeight="1" x14ac:dyDescent="0.25">
      <c r="H22" s="165"/>
      <c r="I22" s="264"/>
      <c r="W22" s="160"/>
    </row>
    <row r="23" spans="1:23" x14ac:dyDescent="0.25">
      <c r="A23" s="157" t="s">
        <v>531</v>
      </c>
      <c r="B23" s="159" t="s">
        <v>20</v>
      </c>
      <c r="W23" s="160"/>
    </row>
    <row r="24" spans="1:23" x14ac:dyDescent="0.25">
      <c r="B24" s="584" t="str">
        <f>+IF(W7=1,"Precinct","Location")</f>
        <v>Precinct</v>
      </c>
      <c r="C24" s="676"/>
      <c r="D24" s="676"/>
      <c r="E24" s="607" t="s">
        <v>533</v>
      </c>
      <c r="F24" s="608"/>
      <c r="G24" s="609"/>
      <c r="H24" s="648" t="s">
        <v>592</v>
      </c>
      <c r="I24" s="607" t="s">
        <v>593</v>
      </c>
      <c r="J24" s="609"/>
      <c r="W24" s="160"/>
    </row>
    <row r="25" spans="1:23" x14ac:dyDescent="0.25">
      <c r="B25" s="641"/>
      <c r="C25" s="677"/>
      <c r="D25" s="677"/>
      <c r="E25" s="7" t="s">
        <v>21</v>
      </c>
      <c r="F25" s="7" t="s">
        <v>521</v>
      </c>
      <c r="G25" s="7" t="s">
        <v>797</v>
      </c>
      <c r="H25" s="649"/>
      <c r="I25" s="7" t="str">
        <f>+E25</f>
        <v>$/EDU</v>
      </c>
      <c r="J25" s="7" t="s">
        <v>521</v>
      </c>
      <c r="W25" s="160"/>
    </row>
    <row r="26" spans="1:23" ht="15" customHeight="1" x14ac:dyDescent="0.25">
      <c r="B26" s="236"/>
      <c r="C26" s="161"/>
      <c r="D26" s="161"/>
      <c r="E26" s="97">
        <f>+INDEX(K63:K65,W26)</f>
        <v>0</v>
      </c>
      <c r="F26" s="63" t="s">
        <v>804</v>
      </c>
      <c r="G26" s="98">
        <v>91.8</v>
      </c>
      <c r="H26" s="99">
        <f>+'June 2009 Summary'!$D$16/'Storm Water'!G26</f>
        <v>1.0370370370370372</v>
      </c>
      <c r="I26" s="97">
        <f>+E26*H26</f>
        <v>0</v>
      </c>
      <c r="J26" s="63" t="str">
        <f>+'June 2009 Summary'!D14</f>
        <v>Jun '09</v>
      </c>
      <c r="W26" s="160">
        <v>1</v>
      </c>
    </row>
    <row r="27" spans="1:23" x14ac:dyDescent="0.25">
      <c r="B27" s="162"/>
      <c r="E27" s="162" t="s">
        <v>807</v>
      </c>
      <c r="H27" s="162"/>
    </row>
    <row r="29" spans="1:23" x14ac:dyDescent="0.25">
      <c r="A29" s="157" t="s">
        <v>532</v>
      </c>
      <c r="B29" s="159" t="s">
        <v>22</v>
      </c>
    </row>
    <row r="30" spans="1:23" x14ac:dyDescent="0.25">
      <c r="B30" s="171" t="s">
        <v>23</v>
      </c>
      <c r="C30" s="247">
        <f>+IF(J14&gt;J21,(J14-J21)*I26,0)</f>
        <v>0</v>
      </c>
      <c r="D30" s="250" t="str">
        <f>+J26</f>
        <v>Jun '09</v>
      </c>
      <c r="E30" s="172" t="str">
        <f>+IF(J21&gt;J14,"No credit in excess of the demand is given","")</f>
        <v/>
      </c>
    </row>
    <row r="32" spans="1:23" x14ac:dyDescent="0.25">
      <c r="B32" s="157"/>
      <c r="C32" s="265"/>
    </row>
    <row r="33" spans="1:5" x14ac:dyDescent="0.25">
      <c r="A33" s="157"/>
    </row>
    <row r="34" spans="1:5" x14ac:dyDescent="0.25">
      <c r="E34" s="170"/>
    </row>
    <row r="35" spans="1:5" x14ac:dyDescent="0.25">
      <c r="E35" s="170"/>
    </row>
    <row r="36" spans="1:5" x14ac:dyDescent="0.25">
      <c r="E36" s="170"/>
    </row>
    <row r="37" spans="1:5" x14ac:dyDescent="0.25">
      <c r="E37" s="170"/>
    </row>
    <row r="38" spans="1:5" x14ac:dyDescent="0.25">
      <c r="E38" s="170"/>
    </row>
    <row r="39" spans="1:5" x14ac:dyDescent="0.25">
      <c r="E39" s="170"/>
    </row>
    <row r="40" spans="1:5" x14ac:dyDescent="0.25">
      <c r="E40" s="170"/>
    </row>
    <row r="41" spans="1:5" x14ac:dyDescent="0.25">
      <c r="E41" s="170"/>
    </row>
    <row r="42" spans="1:5" x14ac:dyDescent="0.25">
      <c r="E42" s="170"/>
    </row>
    <row r="43" spans="1:5" x14ac:dyDescent="0.25">
      <c r="E43" s="170"/>
    </row>
    <row r="44" spans="1:5" x14ac:dyDescent="0.25">
      <c r="E44" s="170"/>
    </row>
    <row r="45" spans="1:5" x14ac:dyDescent="0.25">
      <c r="E45" s="170"/>
    </row>
    <row r="46" spans="1:5" x14ac:dyDescent="0.25">
      <c r="E46" s="170"/>
    </row>
    <row r="47" spans="1:5" x14ac:dyDescent="0.25">
      <c r="E47" s="170"/>
    </row>
    <row r="48" spans="1:5" x14ac:dyDescent="0.25">
      <c r="E48" s="170"/>
    </row>
    <row r="49" spans="2:12" x14ac:dyDescent="0.25">
      <c r="E49" s="170"/>
    </row>
    <row r="51" spans="2:12" x14ac:dyDescent="0.25">
      <c r="C51" s="178"/>
    </row>
    <row r="52" spans="2:12" ht="15" x14ac:dyDescent="0.4">
      <c r="B52" s="221"/>
      <c r="C52" s="266"/>
    </row>
    <row r="53" spans="2:12" x14ac:dyDescent="0.25">
      <c r="B53" s="221"/>
      <c r="C53" s="178"/>
      <c r="E53" s="162"/>
    </row>
    <row r="54" spans="2:12" ht="15" x14ac:dyDescent="0.4">
      <c r="B54" s="221"/>
      <c r="C54" s="266"/>
      <c r="E54" s="250"/>
    </row>
    <row r="55" spans="2:12" x14ac:dyDescent="0.25">
      <c r="C55" s="170"/>
      <c r="E55" s="250"/>
    </row>
    <row r="56" spans="2:12" x14ac:dyDescent="0.25">
      <c r="B56" s="221"/>
      <c r="C56" s="267"/>
    </row>
    <row r="57" spans="2:12" ht="12" customHeight="1" x14ac:dyDescent="0.4">
      <c r="C57" s="268"/>
      <c r="E57" s="250"/>
    </row>
    <row r="60" spans="2:12" x14ac:dyDescent="0.25">
      <c r="B60" s="180" t="s">
        <v>534</v>
      </c>
    </row>
    <row r="61" spans="2:12" x14ac:dyDescent="0.25">
      <c r="H61" s="607" t="s">
        <v>24</v>
      </c>
      <c r="I61" s="608"/>
      <c r="J61" s="608"/>
      <c r="K61" s="608"/>
      <c r="L61" s="609"/>
    </row>
    <row r="62" spans="2:12" x14ac:dyDescent="0.25">
      <c r="B62" s="684" t="s">
        <v>522</v>
      </c>
      <c r="C62" s="685"/>
      <c r="D62" s="685"/>
      <c r="E62" s="686"/>
      <c r="H62" s="607" t="s">
        <v>25</v>
      </c>
      <c r="I62" s="608"/>
      <c r="J62" s="608"/>
      <c r="K62" s="66" t="s">
        <v>21</v>
      </c>
      <c r="L62" s="7"/>
    </row>
    <row r="63" spans="2:12" x14ac:dyDescent="0.25">
      <c r="B63" s="20" t="s">
        <v>527</v>
      </c>
      <c r="C63" s="21"/>
      <c r="D63" s="21"/>
      <c r="E63" s="22"/>
      <c r="H63" s="20" t="s">
        <v>527</v>
      </c>
      <c r="I63" s="21"/>
      <c r="J63" s="21"/>
      <c r="K63" s="193"/>
      <c r="L63" s="18"/>
    </row>
    <row r="64" spans="2:12" x14ac:dyDescent="0.25">
      <c r="B64" s="187" t="s">
        <v>523</v>
      </c>
      <c r="C64" s="188"/>
      <c r="D64" s="188"/>
      <c r="E64" s="189"/>
      <c r="H64" s="187" t="s">
        <v>696</v>
      </c>
      <c r="I64" s="188"/>
      <c r="J64" s="188"/>
      <c r="K64" s="194">
        <v>400</v>
      </c>
      <c r="L64" s="192"/>
    </row>
    <row r="65" spans="2:20" x14ac:dyDescent="0.25">
      <c r="B65" s="225" t="s">
        <v>769</v>
      </c>
      <c r="C65" s="190"/>
      <c r="D65" s="190"/>
      <c r="E65" s="191"/>
      <c r="H65" s="258"/>
      <c r="I65" s="190"/>
      <c r="J65" s="190"/>
      <c r="K65" s="195"/>
      <c r="L65" s="106"/>
    </row>
    <row r="70" spans="2:20" ht="12.75" customHeight="1" x14ac:dyDescent="0.25">
      <c r="B70" s="733" t="s">
        <v>26</v>
      </c>
      <c r="C70" s="734"/>
      <c r="D70" s="734"/>
      <c r="E70" s="734"/>
      <c r="F70" s="735"/>
      <c r="H70" s="733" t="s">
        <v>27</v>
      </c>
      <c r="I70" s="734"/>
      <c r="J70" s="734"/>
      <c r="K70" s="734"/>
      <c r="L70" s="735"/>
      <c r="P70" s="595" t="s">
        <v>535</v>
      </c>
      <c r="Q70" s="596"/>
      <c r="R70" s="596"/>
      <c r="S70" s="596"/>
      <c r="T70" s="597"/>
    </row>
    <row r="71" spans="2:20" x14ac:dyDescent="0.25">
      <c r="B71" s="721" t="s">
        <v>28</v>
      </c>
      <c r="C71" s="676"/>
      <c r="D71" s="269"/>
      <c r="E71" s="112" t="s">
        <v>509</v>
      </c>
      <c r="F71" s="270" t="s">
        <v>768</v>
      </c>
      <c r="H71" s="584" t="s">
        <v>29</v>
      </c>
      <c r="I71" s="676"/>
      <c r="J71" s="269"/>
      <c r="K71" s="112" t="s">
        <v>509</v>
      </c>
      <c r="L71" s="270" t="s">
        <v>768</v>
      </c>
      <c r="P71" s="271" t="str">
        <f>IF($W$7=2,B71,IF($W$7=3,H71,""))</f>
        <v/>
      </c>
      <c r="Q71" s="185"/>
      <c r="R71" s="186"/>
      <c r="S71" s="8" t="str">
        <f>IF($W$7=2,E71,IF($W$7=3,K71,""))</f>
        <v/>
      </c>
      <c r="T71" s="7" t="str">
        <f>IF($W$7=2,F71,IF($W$7=3,L71,""))</f>
        <v/>
      </c>
    </row>
    <row r="72" spans="2:20" x14ac:dyDescent="0.25">
      <c r="B72" s="20" t="s">
        <v>527</v>
      </c>
      <c r="C72" s="21"/>
      <c r="D72" s="21"/>
      <c r="E72" s="255" t="s">
        <v>527</v>
      </c>
      <c r="F72" s="22" t="s">
        <v>527</v>
      </c>
      <c r="H72" s="20" t="s">
        <v>527</v>
      </c>
      <c r="I72" s="21"/>
      <c r="J72" s="21"/>
      <c r="K72" s="255"/>
      <c r="L72" s="22"/>
      <c r="P72" s="203"/>
      <c r="Q72" s="21"/>
      <c r="R72" s="21"/>
      <c r="S72" s="193"/>
      <c r="T72" s="18"/>
    </row>
    <row r="73" spans="2:20" x14ac:dyDescent="0.25">
      <c r="B73" s="187" t="s">
        <v>737</v>
      </c>
      <c r="C73" s="188"/>
      <c r="D73" s="188"/>
      <c r="E73" s="194" t="s">
        <v>834</v>
      </c>
      <c r="F73" s="231">
        <v>1</v>
      </c>
      <c r="H73" s="187" t="s">
        <v>30</v>
      </c>
      <c r="I73" s="188"/>
      <c r="J73" s="188"/>
      <c r="K73" s="194" t="s">
        <v>679</v>
      </c>
      <c r="L73" s="231">
        <v>1</v>
      </c>
      <c r="P73" s="208" t="str">
        <f>IF($W$7=2,B73,IF($W$7=3,H73,""))</f>
        <v/>
      </c>
      <c r="Q73" s="209"/>
      <c r="R73" s="209"/>
      <c r="S73" s="211" t="str">
        <f t="shared" ref="S73:T77" si="0">IF($W$7=2,E73,IF($W$7=3,K73,""))</f>
        <v/>
      </c>
      <c r="T73" s="212" t="str">
        <f t="shared" si="0"/>
        <v/>
      </c>
    </row>
    <row r="74" spans="2:20" x14ac:dyDescent="0.25">
      <c r="B74" s="187" t="s">
        <v>608</v>
      </c>
      <c r="C74" s="188"/>
      <c r="D74" s="188"/>
      <c r="E74" s="256" t="s">
        <v>834</v>
      </c>
      <c r="F74" s="231">
        <v>1</v>
      </c>
      <c r="H74" s="224" t="s">
        <v>31</v>
      </c>
      <c r="I74" s="188"/>
      <c r="J74" s="188"/>
      <c r="K74" s="256" t="s">
        <v>32</v>
      </c>
      <c r="L74" s="231">
        <v>0.7</v>
      </c>
      <c r="P74" s="208" t="str">
        <f>IF($W$7=2,B74,IF($W$7=3,H74,""))</f>
        <v/>
      </c>
      <c r="Q74" s="209"/>
      <c r="R74" s="209"/>
      <c r="S74" s="211" t="str">
        <f t="shared" si="0"/>
        <v/>
      </c>
      <c r="T74" s="212" t="str">
        <f t="shared" si="0"/>
        <v/>
      </c>
    </row>
    <row r="75" spans="2:20" x14ac:dyDescent="0.25">
      <c r="B75" s="187" t="s">
        <v>33</v>
      </c>
      <c r="C75" s="188"/>
      <c r="D75" s="188"/>
      <c r="E75" s="256" t="s">
        <v>834</v>
      </c>
      <c r="F75" s="231">
        <v>1</v>
      </c>
      <c r="G75" s="132" t="s">
        <v>527</v>
      </c>
      <c r="H75" s="187" t="s">
        <v>34</v>
      </c>
      <c r="I75" s="188"/>
      <c r="J75" s="188"/>
      <c r="K75" s="256" t="s">
        <v>32</v>
      </c>
      <c r="L75" s="231">
        <v>1</v>
      </c>
      <c r="P75" s="208" t="str">
        <f>IF($W$7=2,B75,IF($W$7=3,H75,""))</f>
        <v/>
      </c>
      <c r="Q75" s="209"/>
      <c r="R75" s="209"/>
      <c r="S75" s="211" t="str">
        <f t="shared" si="0"/>
        <v/>
      </c>
      <c r="T75" s="212" t="str">
        <f t="shared" si="0"/>
        <v/>
      </c>
    </row>
    <row r="76" spans="2:20" x14ac:dyDescent="0.25">
      <c r="B76" s="187" t="s">
        <v>35</v>
      </c>
      <c r="C76" s="188"/>
      <c r="D76" s="188"/>
      <c r="E76" s="256" t="s">
        <v>834</v>
      </c>
      <c r="F76" s="231">
        <v>1</v>
      </c>
      <c r="G76" s="132" t="s">
        <v>527</v>
      </c>
      <c r="H76" s="187" t="s">
        <v>36</v>
      </c>
      <c r="I76" s="188"/>
      <c r="J76" s="188"/>
      <c r="K76" s="256" t="s">
        <v>32</v>
      </c>
      <c r="L76" s="231">
        <v>0.9</v>
      </c>
      <c r="P76" s="208" t="str">
        <f>IF($W$7=2,B76,IF($W$7=3,H76,""))</f>
        <v/>
      </c>
      <c r="Q76" s="209"/>
      <c r="R76" s="209"/>
      <c r="S76" s="211" t="str">
        <f t="shared" si="0"/>
        <v/>
      </c>
      <c r="T76" s="212" t="str">
        <f t="shared" si="0"/>
        <v/>
      </c>
    </row>
    <row r="77" spans="2:20" x14ac:dyDescent="0.25">
      <c r="B77" s="107" t="s">
        <v>527</v>
      </c>
      <c r="C77" s="190"/>
      <c r="D77" s="190"/>
      <c r="E77" s="259" t="s">
        <v>527</v>
      </c>
      <c r="F77" s="244" t="s">
        <v>527</v>
      </c>
      <c r="G77" s="132" t="s">
        <v>527</v>
      </c>
      <c r="H77" s="107" t="s">
        <v>527</v>
      </c>
      <c r="I77" s="190"/>
      <c r="J77" s="190"/>
      <c r="K77" s="259" t="s">
        <v>527</v>
      </c>
      <c r="L77" s="244" t="s">
        <v>527</v>
      </c>
      <c r="P77" s="213" t="str">
        <f>IF($W$7=2,B77,IF($W$7=3,H77,""))</f>
        <v/>
      </c>
      <c r="Q77" s="214"/>
      <c r="R77" s="214"/>
      <c r="S77" s="216" t="str">
        <f t="shared" si="0"/>
        <v/>
      </c>
      <c r="T77" s="217" t="str">
        <f t="shared" si="0"/>
        <v/>
      </c>
    </row>
    <row r="98" spans="3:15" x14ac:dyDescent="0.25">
      <c r="O98" s="158"/>
    </row>
    <row r="99" spans="3:15" x14ac:dyDescent="0.25">
      <c r="O99" s="158"/>
    </row>
    <row r="101" spans="3:15" x14ac:dyDescent="0.25">
      <c r="C101" s="132" t="s">
        <v>527</v>
      </c>
      <c r="D101" s="132" t="s">
        <v>527</v>
      </c>
    </row>
    <row r="130" spans="10:15" x14ac:dyDescent="0.25">
      <c r="O130" s="158"/>
    </row>
    <row r="131" spans="10:15" x14ac:dyDescent="0.25">
      <c r="O131" s="158"/>
    </row>
    <row r="132" spans="10:15" x14ac:dyDescent="0.25">
      <c r="O132" s="158"/>
    </row>
    <row r="133" spans="10:15" x14ac:dyDescent="0.25">
      <c r="O133" s="158"/>
    </row>
    <row r="134" spans="10:15" x14ac:dyDescent="0.25">
      <c r="O134" s="158"/>
    </row>
    <row r="135" spans="10:15" x14ac:dyDescent="0.25">
      <c r="O135" s="158"/>
    </row>
    <row r="136" spans="10:15" x14ac:dyDescent="0.25">
      <c r="O136" s="158"/>
    </row>
    <row r="137" spans="10:15" x14ac:dyDescent="0.25">
      <c r="O137" s="158"/>
    </row>
    <row r="138" spans="10:15" x14ac:dyDescent="0.25">
      <c r="O138" s="158"/>
    </row>
    <row r="139" spans="10:15" x14ac:dyDescent="0.25">
      <c r="J139" s="158"/>
      <c r="K139" s="158"/>
      <c r="L139" s="158"/>
      <c r="M139" s="158"/>
      <c r="N139" s="158"/>
      <c r="O139" s="158"/>
    </row>
    <row r="140" spans="10:15" x14ac:dyDescent="0.25">
      <c r="J140" s="158"/>
      <c r="K140" s="158"/>
      <c r="L140" s="158"/>
      <c r="M140" s="158"/>
      <c r="N140" s="158"/>
      <c r="O140" s="158"/>
    </row>
    <row r="141" spans="10:15" x14ac:dyDescent="0.25">
      <c r="J141" s="158"/>
      <c r="K141" s="158"/>
      <c r="L141" s="158"/>
      <c r="M141" s="158"/>
      <c r="N141" s="158"/>
      <c r="O141" s="158"/>
    </row>
    <row r="142" spans="10:15" x14ac:dyDescent="0.25">
      <c r="J142" s="158"/>
      <c r="K142" s="158"/>
      <c r="L142" s="158"/>
      <c r="M142" s="158"/>
      <c r="N142" s="158"/>
      <c r="O142" s="158"/>
    </row>
    <row r="143" spans="10:15" x14ac:dyDescent="0.25">
      <c r="J143" s="158"/>
      <c r="K143" s="158"/>
      <c r="L143" s="158"/>
      <c r="M143" s="158"/>
      <c r="N143" s="158"/>
      <c r="O143" s="158"/>
    </row>
    <row r="144" spans="10:15" x14ac:dyDescent="0.25">
      <c r="J144" s="158"/>
      <c r="K144" s="158"/>
      <c r="L144" s="158"/>
      <c r="M144" s="158"/>
      <c r="N144" s="158"/>
      <c r="O144" s="158"/>
    </row>
    <row r="145" spans="10:15" x14ac:dyDescent="0.25">
      <c r="J145" s="158"/>
      <c r="K145" s="158"/>
      <c r="L145" s="158"/>
      <c r="M145" s="158"/>
      <c r="N145" s="158"/>
      <c r="O145" s="158"/>
    </row>
    <row r="146" spans="10:15" x14ac:dyDescent="0.25">
      <c r="J146" s="158"/>
      <c r="K146" s="158"/>
      <c r="L146" s="158"/>
      <c r="M146" s="158"/>
      <c r="N146" s="158"/>
      <c r="O146" s="158"/>
    </row>
    <row r="147" spans="10:15" x14ac:dyDescent="0.25">
      <c r="J147" s="158"/>
      <c r="K147" s="158"/>
      <c r="L147" s="158"/>
      <c r="M147" s="158"/>
      <c r="N147" s="158"/>
      <c r="O147" s="158"/>
    </row>
    <row r="148" spans="10:15" x14ac:dyDescent="0.25">
      <c r="J148" s="158"/>
      <c r="K148" s="158"/>
      <c r="L148" s="158"/>
      <c r="M148" s="158"/>
      <c r="N148" s="158"/>
      <c r="O148" s="158"/>
    </row>
    <row r="149" spans="10:15" x14ac:dyDescent="0.25">
      <c r="J149" s="158"/>
      <c r="K149" s="158"/>
      <c r="L149" s="158"/>
      <c r="M149" s="158"/>
      <c r="N149" s="158"/>
      <c r="O149" s="158"/>
    </row>
    <row r="150" spans="10:15" x14ac:dyDescent="0.25">
      <c r="J150" s="158"/>
      <c r="K150" s="158"/>
      <c r="L150" s="158"/>
      <c r="M150" s="158"/>
      <c r="N150" s="158"/>
      <c r="O150" s="158"/>
    </row>
    <row r="151" spans="10:15" x14ac:dyDescent="0.25">
      <c r="J151" s="158"/>
      <c r="K151" s="158"/>
      <c r="L151" s="158"/>
      <c r="M151" s="158"/>
      <c r="N151" s="158"/>
      <c r="O151" s="158"/>
    </row>
    <row r="152" spans="10:15" x14ac:dyDescent="0.25">
      <c r="J152" s="158"/>
      <c r="K152" s="158"/>
      <c r="L152" s="158"/>
      <c r="M152" s="158"/>
      <c r="N152" s="158"/>
      <c r="O152" s="158"/>
    </row>
    <row r="153" spans="10:15" x14ac:dyDescent="0.25">
      <c r="J153" s="158"/>
      <c r="K153" s="158"/>
      <c r="L153" s="158"/>
      <c r="M153" s="158"/>
      <c r="N153" s="158"/>
      <c r="O153" s="158"/>
    </row>
    <row r="154" spans="10:15" x14ac:dyDescent="0.25">
      <c r="J154" s="158"/>
      <c r="K154" s="158"/>
      <c r="L154" s="158"/>
      <c r="M154" s="158"/>
      <c r="N154" s="158"/>
      <c r="O154" s="158"/>
    </row>
    <row r="155" spans="10:15" x14ac:dyDescent="0.25">
      <c r="J155" s="158"/>
      <c r="K155" s="158"/>
      <c r="L155" s="158"/>
      <c r="M155" s="158"/>
      <c r="N155" s="158"/>
      <c r="O155" s="158"/>
    </row>
    <row r="156" spans="10:15" x14ac:dyDescent="0.25">
      <c r="J156" s="158"/>
      <c r="K156" s="158"/>
      <c r="L156" s="158"/>
      <c r="M156" s="158"/>
      <c r="N156" s="158"/>
      <c r="O156" s="158"/>
    </row>
    <row r="157" spans="10:15" x14ac:dyDescent="0.25">
      <c r="J157" s="158"/>
      <c r="K157" s="158"/>
      <c r="L157" s="158"/>
      <c r="M157" s="158"/>
      <c r="N157" s="158"/>
      <c r="O157" s="158"/>
    </row>
    <row r="158" spans="10:15" x14ac:dyDescent="0.25">
      <c r="J158" s="158"/>
      <c r="K158" s="158"/>
      <c r="L158" s="158"/>
      <c r="M158" s="158"/>
      <c r="N158" s="158"/>
      <c r="O158" s="158"/>
    </row>
    <row r="159" spans="10:15" x14ac:dyDescent="0.25">
      <c r="J159" s="158"/>
      <c r="K159" s="158"/>
      <c r="L159" s="158"/>
      <c r="M159" s="158"/>
      <c r="N159" s="158"/>
      <c r="O159" s="158"/>
    </row>
    <row r="160" spans="10:15" x14ac:dyDescent="0.25">
      <c r="J160" s="158"/>
      <c r="K160" s="158"/>
      <c r="L160" s="158"/>
      <c r="M160" s="158"/>
      <c r="N160" s="158"/>
      <c r="O160" s="158"/>
    </row>
  </sheetData>
  <sheetProtection password="CDF4" sheet="1" objects="1" scenarios="1"/>
  <mergeCells count="23">
    <mergeCell ref="B71:C71"/>
    <mergeCell ref="H71:I71"/>
    <mergeCell ref="E24:G24"/>
    <mergeCell ref="E18:G18"/>
    <mergeCell ref="B70:F70"/>
    <mergeCell ref="H70:L70"/>
    <mergeCell ref="B24:D25"/>
    <mergeCell ref="P70:T70"/>
    <mergeCell ref="E19:G19"/>
    <mergeCell ref="E20:G20"/>
    <mergeCell ref="H61:L61"/>
    <mergeCell ref="A1:I1"/>
    <mergeCell ref="B62:E62"/>
    <mergeCell ref="H62:J62"/>
    <mergeCell ref="B10:D10"/>
    <mergeCell ref="E10:G10"/>
    <mergeCell ref="E11:G11"/>
    <mergeCell ref="E12:G12"/>
    <mergeCell ref="E13:G13"/>
    <mergeCell ref="H24:H25"/>
    <mergeCell ref="I24:J24"/>
    <mergeCell ref="B17:D17"/>
    <mergeCell ref="E17:G17"/>
  </mergeCells>
  <phoneticPr fontId="4" type="noConversion"/>
  <pageMargins left="0.74803149606299213" right="0.74803149606299213" top="0.98425196850393704" bottom="0.62992125984251968"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24" r:id="rId4" name="Drop Down 36">
              <controlPr defaultSize="0" autoLine="0" autoPict="0">
                <anchor moveWithCells="1">
                  <from>
                    <xdr:col>3</xdr:col>
                    <xdr:colOff>0</xdr:colOff>
                    <xdr:row>5</xdr:row>
                    <xdr:rowOff>152400</xdr:rowOff>
                  </from>
                  <to>
                    <xdr:col>6</xdr:col>
                    <xdr:colOff>327660</xdr:colOff>
                    <xdr:row>6</xdr:row>
                    <xdr:rowOff>160020</xdr:rowOff>
                  </to>
                </anchor>
              </controlPr>
            </control>
          </mc:Choice>
        </mc:AlternateContent>
        <mc:AlternateContent xmlns:mc="http://schemas.openxmlformats.org/markup-compatibility/2006">
          <mc:Choice Requires="x14">
            <control shapeId="12325" r:id="rId5" name="Drop Down 37">
              <controlPr defaultSize="0" autoLine="0" autoPict="0">
                <anchor moveWithCells="1">
                  <from>
                    <xdr:col>1</xdr:col>
                    <xdr:colOff>0</xdr:colOff>
                    <xdr:row>10</xdr:row>
                    <xdr:rowOff>7620</xdr:rowOff>
                  </from>
                  <to>
                    <xdr:col>4</xdr:col>
                    <xdr:colOff>22860</xdr:colOff>
                    <xdr:row>11</xdr:row>
                    <xdr:rowOff>7620</xdr:rowOff>
                  </to>
                </anchor>
              </controlPr>
            </control>
          </mc:Choice>
        </mc:AlternateContent>
        <mc:AlternateContent xmlns:mc="http://schemas.openxmlformats.org/markup-compatibility/2006">
          <mc:Choice Requires="x14">
            <control shapeId="12326" r:id="rId6" name="Drop Down 38">
              <controlPr defaultSize="0" autoLine="0" autoPict="0">
                <anchor moveWithCells="1">
                  <from>
                    <xdr:col>1</xdr:col>
                    <xdr:colOff>0</xdr:colOff>
                    <xdr:row>11</xdr:row>
                    <xdr:rowOff>0</xdr:rowOff>
                  </from>
                  <to>
                    <xdr:col>4</xdr:col>
                    <xdr:colOff>7620</xdr:colOff>
                    <xdr:row>12</xdr:row>
                    <xdr:rowOff>0</xdr:rowOff>
                  </to>
                </anchor>
              </controlPr>
            </control>
          </mc:Choice>
        </mc:AlternateContent>
        <mc:AlternateContent xmlns:mc="http://schemas.openxmlformats.org/markup-compatibility/2006">
          <mc:Choice Requires="x14">
            <control shapeId="12327" r:id="rId7" name="Drop Down 39">
              <controlPr defaultSize="0" autoLine="0" autoPict="0">
                <anchor moveWithCells="1">
                  <from>
                    <xdr:col>0</xdr:col>
                    <xdr:colOff>335280</xdr:colOff>
                    <xdr:row>11</xdr:row>
                    <xdr:rowOff>190500</xdr:rowOff>
                  </from>
                  <to>
                    <xdr:col>4</xdr:col>
                    <xdr:colOff>7620</xdr:colOff>
                    <xdr:row>12</xdr:row>
                    <xdr:rowOff>190500</xdr:rowOff>
                  </to>
                </anchor>
              </controlPr>
            </control>
          </mc:Choice>
        </mc:AlternateContent>
        <mc:AlternateContent xmlns:mc="http://schemas.openxmlformats.org/markup-compatibility/2006">
          <mc:Choice Requires="x14">
            <control shapeId="12328" r:id="rId8" name="Drop Down 40">
              <controlPr defaultSize="0" autoLine="0" autoPict="0">
                <anchor moveWithCells="1">
                  <from>
                    <xdr:col>1</xdr:col>
                    <xdr:colOff>0</xdr:colOff>
                    <xdr:row>17</xdr:row>
                    <xdr:rowOff>7620</xdr:rowOff>
                  </from>
                  <to>
                    <xdr:col>4</xdr:col>
                    <xdr:colOff>22860</xdr:colOff>
                    <xdr:row>18</xdr:row>
                    <xdr:rowOff>22860</xdr:rowOff>
                  </to>
                </anchor>
              </controlPr>
            </control>
          </mc:Choice>
        </mc:AlternateContent>
        <mc:AlternateContent xmlns:mc="http://schemas.openxmlformats.org/markup-compatibility/2006">
          <mc:Choice Requires="x14">
            <control shapeId="12329" r:id="rId9" name="Drop Down 41">
              <controlPr defaultSize="0" autoLine="0" autoPict="0">
                <anchor moveWithCells="1">
                  <from>
                    <xdr:col>1</xdr:col>
                    <xdr:colOff>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2330" r:id="rId10" name="Drop Down 42">
              <controlPr defaultSize="0" autoLine="0" autoPict="0">
                <anchor moveWithCells="1">
                  <from>
                    <xdr:col>0</xdr:col>
                    <xdr:colOff>335280</xdr:colOff>
                    <xdr:row>19</xdr:row>
                    <xdr:rowOff>0</xdr:rowOff>
                  </from>
                  <to>
                    <xdr:col>4</xdr:col>
                    <xdr:colOff>7620</xdr:colOff>
                    <xdr:row>20</xdr:row>
                    <xdr:rowOff>7620</xdr:rowOff>
                  </to>
                </anchor>
              </controlPr>
            </control>
          </mc:Choice>
        </mc:AlternateContent>
        <mc:AlternateContent xmlns:mc="http://schemas.openxmlformats.org/markup-compatibility/2006">
          <mc:Choice Requires="x14">
            <control shapeId="12331" r:id="rId11" name="Drop Down 43">
              <controlPr defaultSize="0" autoLine="0" autoPict="0">
                <anchor moveWithCells="1">
                  <from>
                    <xdr:col>1</xdr:col>
                    <xdr:colOff>7620</xdr:colOff>
                    <xdr:row>24</xdr:row>
                    <xdr:rowOff>152400</xdr:rowOff>
                  </from>
                  <to>
                    <xdr:col>4</xdr:col>
                    <xdr:colOff>30480</xdr:colOff>
                    <xdr:row>26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Q143"/>
  <sheetViews>
    <sheetView zoomScale="75" workbookViewId="0"/>
  </sheetViews>
  <sheetFormatPr defaultColWidth="9.109375" defaultRowHeight="13.2" x14ac:dyDescent="0.25"/>
  <cols>
    <col min="1" max="1" width="3.88671875" style="132" customWidth="1"/>
    <col min="2" max="2" width="3.109375" style="285" customWidth="1"/>
    <col min="3" max="3" width="10.5546875" style="285" customWidth="1"/>
    <col min="4" max="4" width="10.88671875" style="285" customWidth="1"/>
    <col min="5" max="5" width="10.88671875" style="132" customWidth="1"/>
    <col min="6" max="6" width="11.6640625" style="132" customWidth="1"/>
    <col min="7" max="7" width="14.44140625" style="132" customWidth="1"/>
    <col min="8" max="8" width="0.6640625" style="132" customWidth="1"/>
    <col min="9" max="9" width="12.33203125" style="132" customWidth="1"/>
    <col min="10" max="10" width="49.33203125" style="132" customWidth="1"/>
    <col min="11" max="11" width="10.88671875" style="132" customWidth="1"/>
    <col min="12" max="12" width="9.6640625" style="132" customWidth="1"/>
    <col min="13" max="13" width="11.88671875" style="132" customWidth="1"/>
    <col min="14" max="15" width="9.109375" style="132"/>
    <col min="16" max="16" width="9.109375" style="132" hidden="1" customWidth="1"/>
    <col min="17" max="17" width="17.44140625" style="132" customWidth="1"/>
    <col min="18" max="18" width="9.6640625" style="132" customWidth="1"/>
    <col min="19" max="19" width="9.109375" style="132"/>
    <col min="20" max="20" width="10.44140625" style="132" customWidth="1"/>
    <col min="21" max="21" width="10.33203125" style="132" bestFit="1" customWidth="1"/>
    <col min="22" max="22" width="9.33203125" style="132" bestFit="1" customWidth="1"/>
    <col min="23" max="26" width="9.109375" style="132"/>
    <col min="27" max="27" width="17.6640625" style="132" customWidth="1"/>
    <col min="28" max="16384" width="9.109375" style="132"/>
  </cols>
  <sheetData>
    <row r="1" spans="1:17" ht="45" customHeight="1" x14ac:dyDescent="0.25">
      <c r="A1" s="339" t="s">
        <v>456</v>
      </c>
      <c r="B1" s="340"/>
      <c r="C1" s="340"/>
      <c r="D1" s="340"/>
      <c r="E1" s="340"/>
      <c r="F1" s="340"/>
      <c r="G1" s="340"/>
      <c r="H1" s="340"/>
      <c r="I1" s="340"/>
      <c r="P1" s="237"/>
    </row>
    <row r="2" spans="1:17" ht="40.5" customHeight="1" x14ac:dyDescent="0.25">
      <c r="A2" s="283"/>
      <c r="B2" s="240"/>
      <c r="C2" s="240"/>
      <c r="D2" s="240"/>
      <c r="E2" s="240"/>
      <c r="F2" s="240"/>
      <c r="G2" s="240"/>
      <c r="H2" s="240"/>
      <c r="I2" s="240"/>
      <c r="P2" s="237"/>
      <c r="Q2" s="159"/>
    </row>
    <row r="3" spans="1:17" ht="21" customHeight="1" x14ac:dyDescent="0.25">
      <c r="A3" s="283"/>
      <c r="B3" s="180" t="s">
        <v>221</v>
      </c>
      <c r="C3" s="284"/>
      <c r="D3" s="284"/>
      <c r="E3" s="284"/>
      <c r="F3" s="284"/>
      <c r="G3" s="284"/>
      <c r="H3" s="284"/>
      <c r="I3" s="284"/>
      <c r="J3" s="284"/>
      <c r="K3" s="284"/>
      <c r="L3" s="284"/>
      <c r="M3" s="284"/>
      <c r="N3" s="284"/>
      <c r="O3" s="284"/>
      <c r="P3" s="284"/>
    </row>
    <row r="4" spans="1:17" ht="21" customHeight="1" x14ac:dyDescent="0.25">
      <c r="A4" s="283"/>
      <c r="B4" s="286"/>
      <c r="D4" s="132"/>
      <c r="P4" s="327" t="b">
        <v>0</v>
      </c>
    </row>
    <row r="5" spans="1:17" ht="21" customHeight="1" x14ac:dyDescent="0.25">
      <c r="A5" s="283"/>
      <c r="P5" s="160" t="b">
        <v>0</v>
      </c>
    </row>
    <row r="6" spans="1:17" ht="21" customHeight="1" x14ac:dyDescent="0.25">
      <c r="A6" s="283"/>
      <c r="B6" s="132"/>
      <c r="C6" s="132"/>
      <c r="D6" s="132"/>
      <c r="P6" s="160" t="b">
        <v>0</v>
      </c>
    </row>
    <row r="7" spans="1:17" ht="21" customHeight="1" x14ac:dyDescent="0.25">
      <c r="A7" s="283"/>
      <c r="B7" s="132"/>
      <c r="C7" s="132"/>
      <c r="D7" s="132"/>
      <c r="P7" s="160" t="b">
        <v>0</v>
      </c>
    </row>
    <row r="8" spans="1:17" ht="21" customHeight="1" x14ac:dyDescent="0.25">
      <c r="A8" s="283"/>
      <c r="B8" s="132"/>
      <c r="C8" s="132"/>
      <c r="D8" s="132"/>
      <c r="P8" s="160" t="b">
        <v>0</v>
      </c>
    </row>
    <row r="9" spans="1:17" ht="21" customHeight="1" x14ac:dyDescent="0.25">
      <c r="A9" s="283"/>
      <c r="B9" s="240"/>
      <c r="C9" s="240"/>
      <c r="D9" s="240"/>
      <c r="E9" s="240"/>
      <c r="F9" s="240"/>
      <c r="G9" s="240"/>
      <c r="H9" s="240"/>
      <c r="I9" s="240"/>
      <c r="P9" s="237"/>
    </row>
    <row r="10" spans="1:17" ht="21" customHeight="1" x14ac:dyDescent="0.25">
      <c r="A10" s="283"/>
      <c r="B10" s="240"/>
      <c r="C10" s="240"/>
      <c r="D10" s="240"/>
      <c r="E10" s="240"/>
      <c r="F10" s="240"/>
      <c r="G10" s="240"/>
      <c r="H10" s="240"/>
      <c r="I10" s="240"/>
      <c r="P10" s="237"/>
    </row>
    <row r="11" spans="1:17" ht="15" customHeight="1" x14ac:dyDescent="0.25">
      <c r="A11" s="283"/>
      <c r="B11" s="240"/>
      <c r="C11" s="332"/>
      <c r="D11" s="240"/>
      <c r="E11" s="240"/>
      <c r="F11" s="240"/>
      <c r="G11" s="240"/>
      <c r="H11" s="240"/>
      <c r="I11" s="240"/>
      <c r="P11" s="237"/>
    </row>
    <row r="12" spans="1:17" ht="21" customHeight="1" x14ac:dyDescent="0.25">
      <c r="B12" s="180" t="s">
        <v>222</v>
      </c>
    </row>
    <row r="13" spans="1:17" ht="21" customHeight="1" x14ac:dyDescent="0.25">
      <c r="B13" s="180"/>
    </row>
    <row r="14" spans="1:17" ht="21" customHeight="1" x14ac:dyDescent="0.25">
      <c r="B14" s="180"/>
    </row>
    <row r="15" spans="1:17" ht="21" customHeight="1" x14ac:dyDescent="0.3">
      <c r="A15" s="233"/>
      <c r="B15" s="292"/>
      <c r="C15" s="292"/>
      <c r="D15" s="292"/>
      <c r="E15" s="292"/>
      <c r="F15" s="292"/>
      <c r="G15" s="292"/>
      <c r="H15" s="292"/>
      <c r="I15" s="292"/>
      <c r="J15" s="292"/>
      <c r="K15" s="292"/>
      <c r="L15" s="292"/>
      <c r="M15" s="292"/>
      <c r="N15" s="292"/>
      <c r="O15" s="292"/>
      <c r="P15" s="292"/>
    </row>
    <row r="16" spans="1:17" ht="21" customHeight="1" x14ac:dyDescent="0.3">
      <c r="A16" s="233"/>
      <c r="B16" s="291" t="s">
        <v>223</v>
      </c>
      <c r="C16" s="132"/>
      <c r="D16" s="290"/>
    </row>
    <row r="17" spans="1:17" ht="21" customHeight="1" x14ac:dyDescent="0.3">
      <c r="A17" s="233"/>
      <c r="B17" s="291"/>
      <c r="C17" s="132"/>
      <c r="D17" s="290"/>
      <c r="P17" s="160" t="b">
        <v>0</v>
      </c>
    </row>
    <row r="18" spans="1:17" ht="21" customHeight="1" x14ac:dyDescent="0.3">
      <c r="A18" s="233"/>
      <c r="B18" s="137"/>
      <c r="C18" s="132"/>
      <c r="D18" s="290"/>
      <c r="P18" s="160" t="b">
        <v>0</v>
      </c>
    </row>
    <row r="19" spans="1:17" ht="21" customHeight="1" x14ac:dyDescent="0.3">
      <c r="A19" s="233"/>
      <c r="B19" s="137"/>
      <c r="C19" s="132"/>
      <c r="D19" s="290"/>
      <c r="Q19" s="137"/>
    </row>
    <row r="20" spans="1:17" ht="21" customHeight="1" x14ac:dyDescent="0.3">
      <c r="A20" s="233"/>
      <c r="B20" s="291" t="s">
        <v>224</v>
      </c>
      <c r="C20" s="284"/>
      <c r="D20" s="284"/>
      <c r="E20" s="284"/>
      <c r="F20" s="284"/>
      <c r="G20" s="284"/>
      <c r="H20" s="284"/>
      <c r="J20" s="284"/>
      <c r="K20" s="284"/>
      <c r="L20" s="284"/>
      <c r="M20" s="284"/>
      <c r="N20" s="284"/>
      <c r="O20" s="284"/>
      <c r="P20" s="284"/>
    </row>
    <row r="21" spans="1:17" ht="21" customHeight="1" x14ac:dyDescent="0.3">
      <c r="A21" s="233"/>
      <c r="B21" s="291"/>
      <c r="C21" s="284"/>
      <c r="D21" s="284"/>
      <c r="E21" s="284"/>
      <c r="F21" s="284"/>
      <c r="G21" s="284"/>
      <c r="H21" s="284"/>
      <c r="J21" s="284"/>
      <c r="K21" s="284"/>
      <c r="L21" s="284"/>
      <c r="M21" s="284"/>
      <c r="N21" s="284"/>
      <c r="O21" s="284"/>
      <c r="P21" s="284"/>
    </row>
    <row r="22" spans="1:17" ht="21" customHeight="1" x14ac:dyDescent="0.3">
      <c r="A22" s="233"/>
      <c r="B22" s="284"/>
      <c r="C22" s="607" t="s">
        <v>208</v>
      </c>
      <c r="D22" s="609"/>
      <c r="E22" s="284"/>
      <c r="F22" s="284"/>
      <c r="G22" s="284"/>
      <c r="H22" s="284"/>
      <c r="J22" s="284"/>
      <c r="K22" s="284"/>
      <c r="L22" s="284"/>
      <c r="M22" s="284"/>
      <c r="N22" s="284"/>
      <c r="O22" s="284"/>
      <c r="P22" s="284"/>
    </row>
    <row r="23" spans="1:17" ht="21" customHeight="1" x14ac:dyDescent="0.3">
      <c r="A23" s="233"/>
      <c r="B23" s="284"/>
      <c r="C23" s="324" t="s">
        <v>692</v>
      </c>
      <c r="D23" s="324" t="str">
        <f>"$ "&amp;Roads!D39</f>
        <v>$ (Jun '09)</v>
      </c>
      <c r="E23" s="284"/>
      <c r="F23" s="284"/>
      <c r="G23" s="284"/>
      <c r="H23" s="284"/>
      <c r="J23" s="284"/>
      <c r="K23" s="284"/>
      <c r="L23" s="284"/>
      <c r="M23" s="284"/>
      <c r="N23" s="284"/>
      <c r="O23" s="284"/>
      <c r="P23" s="284"/>
    </row>
    <row r="24" spans="1:17" ht="21" customHeight="1" x14ac:dyDescent="0.3">
      <c r="A24" s="233"/>
      <c r="B24" s="284"/>
      <c r="C24" s="322">
        <f>+IF(P6=FALSE,IF(AND(P17=TRUE,P18=TRUE,P4=TRUE,P5=TRUE,P8=TRUE),0.33,0),IF(AND(P17=TRUE,P18=TRUE,P4=TRUE,P5=TRUE,P6=TRUE,P7=TRUE,P8=TRUE),0.33,0))</f>
        <v>0</v>
      </c>
      <c r="D24" s="323">
        <f>+C24*Roads!C39</f>
        <v>0</v>
      </c>
      <c r="H24" s="284"/>
      <c r="K24" s="284"/>
      <c r="L24" s="284"/>
      <c r="M24" s="284"/>
      <c r="N24" s="284"/>
      <c r="O24" s="284"/>
      <c r="P24" s="284"/>
      <c r="Q24" s="237"/>
    </row>
    <row r="25" spans="1:17" ht="21" customHeight="1" x14ac:dyDescent="0.3">
      <c r="A25" s="233"/>
      <c r="B25" s="284"/>
      <c r="C25" s="132"/>
      <c r="D25" s="132"/>
      <c r="H25" s="284"/>
      <c r="K25" s="284"/>
      <c r="L25" s="284"/>
      <c r="M25" s="284"/>
      <c r="N25" s="284"/>
      <c r="O25" s="284"/>
      <c r="P25" s="284"/>
      <c r="Q25" s="237"/>
    </row>
    <row r="26" spans="1:17" ht="21" customHeight="1" x14ac:dyDescent="0.3">
      <c r="A26" s="233"/>
      <c r="B26" s="284"/>
      <c r="C26" s="299"/>
      <c r="D26" s="294"/>
      <c r="E26" s="295"/>
      <c r="F26" s="284"/>
      <c r="G26" s="284"/>
      <c r="H26" s="284"/>
      <c r="I26" s="284"/>
      <c r="J26" s="284"/>
      <c r="K26" s="284"/>
      <c r="L26" s="284"/>
      <c r="M26" s="284"/>
      <c r="N26" s="284"/>
      <c r="O26" s="284"/>
      <c r="P26" s="284"/>
      <c r="Q26" s="237"/>
    </row>
    <row r="27" spans="1:17" ht="21" customHeight="1" x14ac:dyDescent="0.3">
      <c r="A27" s="233"/>
      <c r="B27" s="180" t="s">
        <v>225</v>
      </c>
      <c r="C27" s="132"/>
      <c r="D27" s="132"/>
      <c r="Q27" s="237"/>
    </row>
    <row r="28" spans="1:17" ht="21" customHeight="1" x14ac:dyDescent="0.3">
      <c r="A28" s="233"/>
      <c r="B28" s="292"/>
      <c r="C28" s="292"/>
      <c r="D28" s="292"/>
      <c r="E28" s="292"/>
      <c r="F28" s="292"/>
      <c r="G28" s="292"/>
      <c r="H28" s="292"/>
      <c r="I28" s="292"/>
      <c r="J28" s="292"/>
      <c r="K28" s="292"/>
      <c r="L28" s="292"/>
      <c r="M28" s="292"/>
      <c r="N28" s="292"/>
      <c r="O28" s="736"/>
      <c r="P28" s="736"/>
      <c r="Q28" s="237"/>
    </row>
    <row r="29" spans="1:17" ht="21" customHeight="1" x14ac:dyDescent="0.3">
      <c r="A29" s="233"/>
      <c r="B29" s="292"/>
      <c r="C29" s="292"/>
      <c r="D29" s="292"/>
      <c r="E29" s="292"/>
      <c r="F29" s="292"/>
      <c r="G29" s="292"/>
      <c r="H29" s="292"/>
      <c r="I29" s="292"/>
      <c r="J29" s="292"/>
      <c r="K29" s="292"/>
      <c r="L29" s="292"/>
      <c r="M29" s="292"/>
      <c r="N29" s="292"/>
      <c r="O29" s="292"/>
      <c r="P29" s="292"/>
      <c r="Q29" s="237"/>
    </row>
    <row r="30" spans="1:17" ht="21" customHeight="1" x14ac:dyDescent="0.3">
      <c r="A30" s="233"/>
      <c r="B30" s="292"/>
      <c r="C30" s="292"/>
      <c r="D30" s="292"/>
      <c r="E30" s="292"/>
      <c r="F30" s="292"/>
      <c r="G30" s="292"/>
      <c r="H30" s="292"/>
      <c r="I30" s="292"/>
      <c r="J30" s="292"/>
      <c r="K30" s="292"/>
      <c r="L30" s="292"/>
      <c r="M30" s="292"/>
      <c r="N30" s="292"/>
      <c r="O30" s="292"/>
      <c r="P30" s="292"/>
      <c r="Q30" s="237"/>
    </row>
    <row r="31" spans="1:17" ht="20.25" customHeight="1" x14ac:dyDescent="0.3">
      <c r="A31" s="233"/>
      <c r="B31" s="132"/>
      <c r="C31" s="132"/>
      <c r="D31" s="132"/>
      <c r="Q31" s="237"/>
    </row>
    <row r="32" spans="1:17" ht="19.5" customHeight="1" x14ac:dyDescent="0.25">
      <c r="A32" s="157"/>
      <c r="B32" s="291" t="s">
        <v>226</v>
      </c>
      <c r="C32" s="132"/>
      <c r="D32" s="290"/>
    </row>
    <row r="33" spans="1:16" ht="19.5" customHeight="1" x14ac:dyDescent="0.25">
      <c r="A33" s="157"/>
      <c r="B33" s="291"/>
      <c r="C33" s="132"/>
      <c r="D33" s="290"/>
      <c r="P33" s="160" t="b">
        <v>0</v>
      </c>
    </row>
    <row r="34" spans="1:16" ht="21" customHeight="1" x14ac:dyDescent="0.25">
      <c r="A34" s="157"/>
      <c r="B34" s="132"/>
      <c r="C34" s="132"/>
      <c r="D34" s="132"/>
      <c r="P34" s="160" t="b">
        <v>0</v>
      </c>
    </row>
    <row r="35" spans="1:16" ht="21" customHeight="1" x14ac:dyDescent="0.25">
      <c r="A35" s="157"/>
      <c r="B35" s="132"/>
      <c r="C35" s="132"/>
      <c r="D35" s="132"/>
      <c r="P35" s="160" t="b">
        <v>0</v>
      </c>
    </row>
    <row r="36" spans="1:16" ht="21" customHeight="1" x14ac:dyDescent="0.25">
      <c r="A36" s="157"/>
      <c r="B36" s="132"/>
      <c r="C36" s="132"/>
      <c r="D36" s="132"/>
    </row>
    <row r="37" spans="1:16" ht="21" customHeight="1" x14ac:dyDescent="0.25">
      <c r="A37" s="157"/>
      <c r="B37" s="291" t="s">
        <v>489</v>
      </c>
      <c r="C37" s="132"/>
      <c r="D37" s="132"/>
    </row>
    <row r="38" spans="1:16" ht="21" customHeight="1" x14ac:dyDescent="0.25">
      <c r="A38" s="157"/>
      <c r="B38" s="132"/>
      <c r="C38" s="132"/>
      <c r="D38" s="300"/>
      <c r="I38" s="300"/>
    </row>
    <row r="39" spans="1:16" ht="41.25" customHeight="1" x14ac:dyDescent="0.25">
      <c r="B39" s="132"/>
      <c r="C39" s="743" t="s">
        <v>149</v>
      </c>
      <c r="D39" s="744"/>
      <c r="E39" s="744"/>
      <c r="F39" s="745"/>
      <c r="G39" s="296" t="str">
        <f>"Gross Contribution $ "&amp;Roads!D39</f>
        <v>Gross Contribution $ (Jun '09)</v>
      </c>
      <c r="I39" s="737" t="s">
        <v>227</v>
      </c>
      <c r="J39" s="738"/>
      <c r="K39" s="739"/>
      <c r="L39" s="296" t="s">
        <v>488</v>
      </c>
      <c r="M39" s="325" t="str">
        <f>"Waiver         $ "&amp;Roads!D39</f>
        <v>Waiver         $ (Jun '09)</v>
      </c>
      <c r="N39" s="177"/>
    </row>
    <row r="40" spans="1:16" ht="21" customHeight="1" x14ac:dyDescent="0.25">
      <c r="C40" s="320">
        <f>IF(Roads!$S$7=3,"",INDEX(Roads!$N$90:$N$159,Roads!S11))</f>
        <v>0</v>
      </c>
      <c r="D40" s="13"/>
      <c r="E40" s="13"/>
      <c r="F40" s="14"/>
      <c r="G40" s="79">
        <f>+IF(Roads!$S$7=3,0,IF(Roads!I11="",0,(Roads!I11-Roads!$I$23*Roads!I11/Roads!$I$15)*(Roads!$K$28+Roads!$K$29+Roads!$K$30+Roads!$K$31)))</f>
        <v>0</v>
      </c>
      <c r="L40" s="328">
        <f>+IF($P$6=FALSE,IF(AND($P$33=TRUE,$P$34=TRUE,$P$35=TRUE,$P$4=TRUE,$P$5=TRUE,$P$8=TRUE),INDEX($G$87:$G$121,P40),0),IF(AND($P$33=TRUE,$P$34=TRUE,$P$35=TRUE,$P$4=TRUE,$P$5=TRUE,$P$6=TRUE,$P$7=TRUE,$P$8=TRUE),INDEX($G$87:$G$121,P40),0))</f>
        <v>0</v>
      </c>
      <c r="M40" s="297">
        <f>+L40*G40</f>
        <v>0</v>
      </c>
      <c r="P40" s="160">
        <v>1</v>
      </c>
    </row>
    <row r="41" spans="1:16" ht="21" customHeight="1" x14ac:dyDescent="0.25">
      <c r="C41" s="320">
        <f>IF(Roads!$S$7=3,"",INDEX(Roads!$N$90:$N$159,Roads!S12))</f>
        <v>0</v>
      </c>
      <c r="D41" s="13"/>
      <c r="E41" s="13"/>
      <c r="F41" s="14"/>
      <c r="G41" s="79">
        <f>+IF(Roads!$S$7=3,0,IF(Roads!I12="",0,(Roads!I12-Roads!$I$23*Roads!I12/Roads!$I$15)*(Roads!$K$28+Roads!$K$29+Roads!$K$30+Roads!$K$31)))</f>
        <v>0</v>
      </c>
      <c r="L41" s="328">
        <f>+IF($P$6=FALSE,IF(AND($P$33=TRUE,$P$34=TRUE,$P$35=TRUE,$P$4=TRUE,$P$5=TRUE,$P$8=TRUE),INDEX($G$87:$G$121,P41),0),IF(AND($P$33=TRUE,$P$34=TRUE,$P$35=TRUE,$P$4=TRUE,$P$5=TRUE,$P$6=TRUE,$P$7=TRUE,$P$8=TRUE),INDEX($G$87:$G$121,P41),0))</f>
        <v>0</v>
      </c>
      <c r="M41" s="9">
        <f>+L41*G41</f>
        <v>0</v>
      </c>
      <c r="P41" s="160">
        <v>1</v>
      </c>
    </row>
    <row r="42" spans="1:16" ht="21" customHeight="1" x14ac:dyDescent="0.25">
      <c r="C42" s="320">
        <f>IF(Roads!$S$7=3,"",INDEX(Roads!$N$90:$N$159,Roads!S13))</f>
        <v>0</v>
      </c>
      <c r="D42" s="13"/>
      <c r="E42" s="13"/>
      <c r="F42" s="14"/>
      <c r="G42" s="79">
        <f>+IF(Roads!$S$7=3,0,IF(Roads!I13="",0,(Roads!I13-Roads!$I$23*Roads!I13/Roads!$I$15)*(Roads!$K$28+Roads!$K$29+Roads!$K$30+Roads!$K$31)))</f>
        <v>0</v>
      </c>
      <c r="L42" s="328">
        <f>+IF($P$6=FALSE,IF(AND($P$33=TRUE,$P$34=TRUE,$P$35=TRUE,$P$4=TRUE,$P$5=TRUE,$P$8=TRUE),INDEX($G$87:$G$121,P42),0),IF(AND($P$33=TRUE,$P$34=TRUE,$P$35=TRUE,$P$4=TRUE,$P$5=TRUE,$P$6=TRUE,$P$7=TRUE,$P$8=TRUE),INDEX($G$87:$G$121,P42),0))</f>
        <v>0</v>
      </c>
      <c r="M42" s="298">
        <f>+L42*G42</f>
        <v>0</v>
      </c>
      <c r="P42" s="160">
        <v>1</v>
      </c>
    </row>
    <row r="43" spans="1:16" ht="21" customHeight="1" x14ac:dyDescent="0.25">
      <c r="D43" s="132"/>
      <c r="L43" s="165" t="s">
        <v>212</v>
      </c>
      <c r="M43" s="326">
        <f>SUM(M40:M42)</f>
        <v>0</v>
      </c>
    </row>
    <row r="44" spans="1:16" ht="13.5" customHeight="1" x14ac:dyDescent="0.25">
      <c r="D44" s="132"/>
    </row>
    <row r="45" spans="1:16" ht="14.25" customHeight="1" x14ac:dyDescent="0.25">
      <c r="D45" s="132"/>
      <c r="I45" s="321" t="s">
        <v>129</v>
      </c>
    </row>
    <row r="46" spans="1:16" ht="14.25" customHeight="1" x14ac:dyDescent="0.25">
      <c r="D46" s="132"/>
      <c r="I46" s="319" t="s">
        <v>486</v>
      </c>
    </row>
    <row r="47" spans="1:16" ht="14.25" customHeight="1" x14ac:dyDescent="0.25">
      <c r="D47" s="132"/>
      <c r="I47" s="319" t="s">
        <v>487</v>
      </c>
    </row>
    <row r="48" spans="1:16" ht="14.25" customHeight="1" x14ac:dyDescent="0.25">
      <c r="D48" s="132"/>
      <c r="I48" s="319" t="s">
        <v>484</v>
      </c>
    </row>
    <row r="49" spans="2:16" ht="14.25" customHeight="1" x14ac:dyDescent="0.25">
      <c r="D49" s="319"/>
      <c r="I49" s="319" t="s">
        <v>485</v>
      </c>
    </row>
    <row r="50" spans="2:16" ht="14.25" customHeight="1" x14ac:dyDescent="0.25">
      <c r="B50" s="132"/>
      <c r="C50" s="132"/>
      <c r="D50" s="284"/>
      <c r="I50" s="319"/>
    </row>
    <row r="51" spans="2:16" ht="14.25" customHeight="1" x14ac:dyDescent="0.25">
      <c r="B51" s="180" t="s">
        <v>238</v>
      </c>
      <c r="I51" s="319"/>
    </row>
    <row r="52" spans="2:16" ht="21" customHeight="1" x14ac:dyDescent="0.25">
      <c r="B52" s="180"/>
      <c r="I52" s="319"/>
    </row>
    <row r="53" spans="2:16" ht="21" customHeight="1" x14ac:dyDescent="0.25">
      <c r="B53" s="180"/>
      <c r="I53" s="319"/>
    </row>
    <row r="54" spans="2:16" ht="21" customHeight="1" x14ac:dyDescent="0.25">
      <c r="B54" s="292"/>
      <c r="C54" s="292"/>
      <c r="D54" s="292"/>
      <c r="E54" s="292"/>
      <c r="I54" s="319"/>
    </row>
    <row r="55" spans="2:16" ht="21" customHeight="1" x14ac:dyDescent="0.25">
      <c r="B55" s="291" t="s">
        <v>235</v>
      </c>
      <c r="C55" s="132"/>
      <c r="D55" s="290"/>
      <c r="I55" s="319"/>
    </row>
    <row r="56" spans="2:16" ht="21" customHeight="1" x14ac:dyDescent="0.25">
      <c r="B56" s="137"/>
      <c r="C56" s="132"/>
      <c r="D56" s="290"/>
      <c r="I56" s="319"/>
      <c r="P56" s="160" t="b">
        <v>0</v>
      </c>
    </row>
    <row r="57" spans="2:16" ht="21" customHeight="1" x14ac:dyDescent="0.25">
      <c r="B57" s="137"/>
      <c r="C57" s="132"/>
      <c r="D57" s="290"/>
      <c r="I57" s="319"/>
      <c r="P57" s="160" t="b">
        <v>0</v>
      </c>
    </row>
    <row r="58" spans="2:16" ht="21" customHeight="1" x14ac:dyDescent="0.25">
      <c r="B58" s="137"/>
      <c r="C58" s="132"/>
      <c r="D58" s="290"/>
      <c r="I58" s="319"/>
      <c r="P58" s="160" t="b">
        <v>0</v>
      </c>
    </row>
    <row r="59" spans="2:16" ht="21" customHeight="1" x14ac:dyDescent="0.25">
      <c r="B59" s="291" t="s">
        <v>236</v>
      </c>
      <c r="C59" s="284"/>
      <c r="D59" s="284"/>
      <c r="E59" s="284"/>
      <c r="I59" s="319"/>
    </row>
    <row r="60" spans="2:16" ht="21" customHeight="1" x14ac:dyDescent="0.25">
      <c r="B60" s="291"/>
      <c r="C60" s="284"/>
      <c r="D60" s="284"/>
      <c r="E60" s="284"/>
      <c r="I60" s="319"/>
    </row>
    <row r="61" spans="2:16" ht="21" customHeight="1" x14ac:dyDescent="0.25">
      <c r="B61" s="284"/>
      <c r="C61" s="607" t="s">
        <v>239</v>
      </c>
      <c r="D61" s="609"/>
      <c r="E61" s="284"/>
      <c r="I61" s="319"/>
    </row>
    <row r="62" spans="2:16" ht="21" customHeight="1" x14ac:dyDescent="0.25">
      <c r="B62" s="284"/>
      <c r="C62" s="324" t="s">
        <v>692</v>
      </c>
      <c r="D62" s="324" t="str">
        <f>"$ "&amp;Roads!D75</f>
        <v xml:space="preserve">$ </v>
      </c>
      <c r="E62" s="284"/>
      <c r="I62" s="319"/>
    </row>
    <row r="63" spans="2:16" ht="21" customHeight="1" x14ac:dyDescent="0.25">
      <c r="B63" s="284"/>
      <c r="C63" s="322">
        <f>+IF(P6=FALSE,IF(AND(P4=TRUE,P5=TRUE,P8=TRUE,P56=TRUE,P57=TRUE, P58=TRUE),0.2,0),IF(AND(P4=TRUE,P5=TRUE,P6=TRUE,P7=TRUE,P8=TRUE,P56=TRUE,P57=TRUE, P58=TRUE),0.2,0))</f>
        <v>0</v>
      </c>
      <c r="D63" s="323">
        <f>+C63*Roads!C39</f>
        <v>0</v>
      </c>
      <c r="I63" s="319"/>
    </row>
    <row r="64" spans="2:16" ht="21" customHeight="1" x14ac:dyDescent="0.25">
      <c r="B64" s="132"/>
      <c r="C64" s="132"/>
      <c r="D64" s="284"/>
      <c r="I64" s="319"/>
    </row>
    <row r="65" spans="2:9" ht="21" customHeight="1" x14ac:dyDescent="0.25">
      <c r="B65" s="132"/>
      <c r="C65" s="132"/>
      <c r="D65" s="284"/>
      <c r="I65" s="319"/>
    </row>
    <row r="66" spans="2:9" ht="21" customHeight="1" x14ac:dyDescent="0.25">
      <c r="B66" s="180" t="s">
        <v>237</v>
      </c>
      <c r="C66" s="132"/>
    </row>
    <row r="67" spans="2:9" ht="13.5" customHeight="1" x14ac:dyDescent="0.25">
      <c r="C67" s="180"/>
    </row>
    <row r="68" spans="2:9" x14ac:dyDescent="0.25">
      <c r="C68" s="293">
        <f>IF(Roads!$C$39=0,0,$C$72/Roads!$C$39*Roads!C35)</f>
        <v>0</v>
      </c>
      <c r="D68" s="177" t="str">
        <f>+Roads!D35</f>
        <v>TCC Works</v>
      </c>
    </row>
    <row r="69" spans="2:9" x14ac:dyDescent="0.25">
      <c r="C69" s="293">
        <f>IF(Roads!$C$39=0,0,$C$72/Roads!$C$39*Roads!C36)</f>
        <v>0</v>
      </c>
      <c r="D69" s="177" t="str">
        <f>+Roads!D36</f>
        <v>TCC Land</v>
      </c>
    </row>
    <row r="70" spans="2:9" x14ac:dyDescent="0.25">
      <c r="C70" s="293">
        <f>IF(Roads!$C$39=0,0,$C$72/Roads!$C$39*Roads!C37)</f>
        <v>0</v>
      </c>
      <c r="D70" s="177" t="str">
        <f>+Roads!D37</f>
        <v>SCR Works</v>
      </c>
    </row>
    <row r="71" spans="2:9" ht="15" x14ac:dyDescent="0.4">
      <c r="C71" s="302">
        <f>IF(Roads!$C$39=0,0,$C$72/Roads!$C$39*Roads!C38)</f>
        <v>0</v>
      </c>
      <c r="D71" s="177" t="str">
        <f>+Roads!D38</f>
        <v>SCR Land</v>
      </c>
    </row>
    <row r="72" spans="2:9" x14ac:dyDescent="0.25">
      <c r="C72" s="341">
        <f>+IF(AND(P18=TRUE,P56=TRUE),MAX(D63,M43),MAX(D63,M43,D24))</f>
        <v>0</v>
      </c>
      <c r="D72" s="177" t="str">
        <f>+D23</f>
        <v>$ (Jun '09)</v>
      </c>
    </row>
    <row r="74" spans="2:9" x14ac:dyDescent="0.25">
      <c r="C74" s="301" t="str">
        <f>+IF(AND(P18=TRUE,P56=TRUE),"Waiver 1 and Waiver 3 can not apply for same application - Waiver 3 has been used","")</f>
        <v/>
      </c>
    </row>
    <row r="82" spans="2:12" x14ac:dyDescent="0.25">
      <c r="C82" s="180" t="s">
        <v>534</v>
      </c>
      <c r="D82" s="132"/>
    </row>
    <row r="83" spans="2:12" x14ac:dyDescent="0.25">
      <c r="C83" s="132"/>
    </row>
    <row r="84" spans="2:12" x14ac:dyDescent="0.25">
      <c r="C84" s="159" t="s">
        <v>228</v>
      </c>
    </row>
    <row r="85" spans="2:12" x14ac:dyDescent="0.25">
      <c r="C85" s="159"/>
    </row>
    <row r="86" spans="2:12" ht="27.75" customHeight="1" x14ac:dyDescent="0.25">
      <c r="B86" s="132"/>
      <c r="C86" s="595" t="s">
        <v>149</v>
      </c>
      <c r="D86" s="596"/>
      <c r="E86" s="596"/>
      <c r="F86" s="597"/>
      <c r="G86" s="282" t="s">
        <v>150</v>
      </c>
      <c r="H86" s="595" t="s">
        <v>151</v>
      </c>
      <c r="I86" s="596"/>
      <c r="J86" s="596"/>
      <c r="K86" s="596"/>
      <c r="L86" s="597"/>
    </row>
    <row r="87" spans="2:12" ht="27.75" customHeight="1" x14ac:dyDescent="0.25">
      <c r="B87" s="132"/>
      <c r="C87" s="303"/>
      <c r="D87" s="13"/>
      <c r="E87" s="13"/>
      <c r="F87" s="14"/>
      <c r="G87" s="304"/>
      <c r="H87" s="740"/>
      <c r="I87" s="741"/>
      <c r="J87" s="741"/>
      <c r="K87" s="741"/>
      <c r="L87" s="742"/>
    </row>
    <row r="88" spans="2:12" ht="27.75" customHeight="1" x14ac:dyDescent="0.25">
      <c r="B88" s="132"/>
      <c r="C88" s="303" t="s">
        <v>209</v>
      </c>
      <c r="D88" s="13"/>
      <c r="E88" s="13"/>
      <c r="F88" s="14"/>
      <c r="G88" s="304">
        <v>0.5</v>
      </c>
      <c r="H88" s="740" t="s">
        <v>164</v>
      </c>
      <c r="I88" s="741"/>
      <c r="J88" s="741"/>
      <c r="K88" s="741"/>
      <c r="L88" s="742"/>
    </row>
    <row r="89" spans="2:12" ht="27.75" customHeight="1" x14ac:dyDescent="0.25">
      <c r="B89" s="132"/>
      <c r="C89" s="303" t="s">
        <v>62</v>
      </c>
      <c r="D89" s="13"/>
      <c r="E89" s="13"/>
      <c r="F89" s="14"/>
      <c r="G89" s="304">
        <v>0.5</v>
      </c>
      <c r="H89" s="740" t="s">
        <v>152</v>
      </c>
      <c r="I89" s="741"/>
      <c r="J89" s="741"/>
      <c r="K89" s="741"/>
      <c r="L89" s="742"/>
    </row>
    <row r="90" spans="2:12" ht="27.75" customHeight="1" x14ac:dyDescent="0.25">
      <c r="B90" s="132"/>
      <c r="C90" s="303" t="s">
        <v>206</v>
      </c>
      <c r="D90" s="13"/>
      <c r="E90" s="13"/>
      <c r="F90" s="14"/>
      <c r="G90" s="304">
        <v>0.75</v>
      </c>
      <c r="H90" s="740" t="s">
        <v>207</v>
      </c>
      <c r="I90" s="741"/>
      <c r="J90" s="741"/>
      <c r="K90" s="741"/>
      <c r="L90" s="742"/>
    </row>
    <row r="91" spans="2:12" ht="27.75" customHeight="1" x14ac:dyDescent="0.25">
      <c r="B91" s="132"/>
      <c r="C91" s="303" t="s">
        <v>153</v>
      </c>
      <c r="D91" s="13"/>
      <c r="E91" s="13"/>
      <c r="F91" s="14"/>
      <c r="G91" s="304">
        <v>0.75</v>
      </c>
      <c r="H91" s="740" t="s">
        <v>154</v>
      </c>
      <c r="I91" s="741"/>
      <c r="J91" s="741"/>
      <c r="K91" s="741"/>
      <c r="L91" s="742"/>
    </row>
    <row r="92" spans="2:12" ht="27.75" customHeight="1" x14ac:dyDescent="0.25">
      <c r="B92" s="132"/>
      <c r="C92" s="303" t="s">
        <v>155</v>
      </c>
      <c r="D92" s="13"/>
      <c r="E92" s="13"/>
      <c r="F92" s="14"/>
      <c r="G92" s="304">
        <v>0.5</v>
      </c>
      <c r="H92" s="740" t="s">
        <v>156</v>
      </c>
      <c r="I92" s="741"/>
      <c r="J92" s="741"/>
      <c r="K92" s="741"/>
      <c r="L92" s="742"/>
    </row>
    <row r="93" spans="2:12" ht="27.75" customHeight="1" x14ac:dyDescent="0.25">
      <c r="B93" s="132"/>
      <c r="C93" s="303" t="s">
        <v>161</v>
      </c>
      <c r="D93" s="13"/>
      <c r="E93" s="13"/>
      <c r="F93" s="14"/>
      <c r="G93" s="304">
        <v>0.25</v>
      </c>
      <c r="H93" s="740" t="s">
        <v>163</v>
      </c>
      <c r="I93" s="741"/>
      <c r="J93" s="741"/>
      <c r="K93" s="741"/>
      <c r="L93" s="742"/>
    </row>
    <row r="94" spans="2:12" ht="27.75" customHeight="1" x14ac:dyDescent="0.25">
      <c r="B94" s="132"/>
      <c r="C94" s="303" t="s">
        <v>165</v>
      </c>
      <c r="D94" s="13"/>
      <c r="E94" s="13"/>
      <c r="F94" s="14"/>
      <c r="G94" s="304">
        <v>0.5</v>
      </c>
      <c r="H94" s="740" t="s">
        <v>166</v>
      </c>
      <c r="I94" s="741"/>
      <c r="J94" s="741"/>
      <c r="K94" s="741"/>
      <c r="L94" s="742"/>
    </row>
    <row r="95" spans="2:12" ht="27.75" customHeight="1" x14ac:dyDescent="0.25">
      <c r="B95" s="132"/>
      <c r="C95" s="303" t="s">
        <v>167</v>
      </c>
      <c r="D95" s="13"/>
      <c r="E95" s="13"/>
      <c r="F95" s="14"/>
      <c r="G95" s="304">
        <v>0.75</v>
      </c>
      <c r="H95" s="740" t="s">
        <v>168</v>
      </c>
      <c r="I95" s="741"/>
      <c r="J95" s="741"/>
      <c r="K95" s="741"/>
      <c r="L95" s="742"/>
    </row>
    <row r="96" spans="2:12" ht="27.75" customHeight="1" x14ac:dyDescent="0.25">
      <c r="B96" s="132"/>
      <c r="C96" s="303" t="s">
        <v>171</v>
      </c>
      <c r="D96" s="13"/>
      <c r="E96" s="13"/>
      <c r="F96" s="14"/>
      <c r="G96" s="304">
        <v>0.25</v>
      </c>
      <c r="H96" s="740" t="s">
        <v>172</v>
      </c>
      <c r="I96" s="741"/>
      <c r="J96" s="741"/>
      <c r="K96" s="741"/>
      <c r="L96" s="742"/>
    </row>
    <row r="97" spans="2:12" ht="27.75" customHeight="1" x14ac:dyDescent="0.25">
      <c r="B97" s="132"/>
      <c r="C97" s="303" t="s">
        <v>169</v>
      </c>
      <c r="D97" s="13"/>
      <c r="E97" s="13"/>
      <c r="F97" s="14"/>
      <c r="G97" s="304">
        <v>0.25</v>
      </c>
      <c r="H97" s="740" t="s">
        <v>170</v>
      </c>
      <c r="I97" s="741"/>
      <c r="J97" s="741"/>
      <c r="K97" s="741"/>
      <c r="L97" s="742"/>
    </row>
    <row r="98" spans="2:12" ht="27.75" customHeight="1" x14ac:dyDescent="0.25">
      <c r="B98" s="132"/>
      <c r="C98" s="303" t="s">
        <v>177</v>
      </c>
      <c r="D98" s="13"/>
      <c r="E98" s="13"/>
      <c r="F98" s="14"/>
      <c r="G98" s="304">
        <v>0.5</v>
      </c>
      <c r="H98" s="740" t="s">
        <v>174</v>
      </c>
      <c r="I98" s="741"/>
      <c r="J98" s="741"/>
      <c r="K98" s="741"/>
      <c r="L98" s="742"/>
    </row>
    <row r="99" spans="2:12" ht="27.75" customHeight="1" x14ac:dyDescent="0.25">
      <c r="B99" s="132"/>
      <c r="C99" s="303" t="s">
        <v>162</v>
      </c>
      <c r="D99" s="13"/>
      <c r="E99" s="13"/>
      <c r="F99" s="14"/>
      <c r="G99" s="304">
        <v>0.25</v>
      </c>
      <c r="H99" s="740" t="s">
        <v>163</v>
      </c>
      <c r="I99" s="741"/>
      <c r="J99" s="741"/>
      <c r="K99" s="741"/>
      <c r="L99" s="742"/>
    </row>
    <row r="100" spans="2:12" ht="27.75" customHeight="1" x14ac:dyDescent="0.25">
      <c r="B100" s="132"/>
      <c r="C100" s="303" t="s">
        <v>178</v>
      </c>
      <c r="D100" s="13"/>
      <c r="E100" s="13"/>
      <c r="F100" s="14"/>
      <c r="G100" s="304">
        <v>0.5</v>
      </c>
      <c r="H100" s="740" t="s">
        <v>174</v>
      </c>
      <c r="I100" s="741"/>
      <c r="J100" s="741"/>
      <c r="K100" s="741"/>
      <c r="L100" s="742"/>
    </row>
    <row r="101" spans="2:12" ht="27.75" customHeight="1" x14ac:dyDescent="0.25">
      <c r="B101" s="132"/>
      <c r="C101" s="303" t="s">
        <v>173</v>
      </c>
      <c r="D101" s="13"/>
      <c r="E101" s="13"/>
      <c r="F101" s="14"/>
      <c r="G101" s="304">
        <v>0.5</v>
      </c>
      <c r="H101" s="740" t="s">
        <v>174</v>
      </c>
      <c r="I101" s="741"/>
      <c r="J101" s="741"/>
      <c r="K101" s="741"/>
      <c r="L101" s="742"/>
    </row>
    <row r="102" spans="2:12" ht="27.75" customHeight="1" x14ac:dyDescent="0.25">
      <c r="B102" s="132"/>
      <c r="C102" s="303" t="s">
        <v>175</v>
      </c>
      <c r="D102" s="13"/>
      <c r="E102" s="13"/>
      <c r="F102" s="14"/>
      <c r="G102" s="304">
        <v>0.25</v>
      </c>
      <c r="H102" s="740" t="s">
        <v>176</v>
      </c>
      <c r="I102" s="741"/>
      <c r="J102" s="741"/>
      <c r="K102" s="741"/>
      <c r="L102" s="742"/>
    </row>
    <row r="103" spans="2:12" ht="27.75" customHeight="1" x14ac:dyDescent="0.25">
      <c r="B103" s="132"/>
      <c r="C103" s="303" t="s">
        <v>159</v>
      </c>
      <c r="D103" s="13"/>
      <c r="E103" s="13"/>
      <c r="F103" s="14"/>
      <c r="G103" s="304">
        <v>0.25</v>
      </c>
      <c r="H103" s="740" t="s">
        <v>160</v>
      </c>
      <c r="I103" s="741"/>
      <c r="J103" s="741"/>
      <c r="K103" s="741"/>
      <c r="L103" s="742"/>
    </row>
    <row r="104" spans="2:12" ht="27.75" customHeight="1" x14ac:dyDescent="0.25">
      <c r="B104" s="132"/>
      <c r="C104" s="303" t="s">
        <v>157</v>
      </c>
      <c r="D104" s="13"/>
      <c r="E104" s="13"/>
      <c r="F104" s="14"/>
      <c r="G104" s="304">
        <v>0.5</v>
      </c>
      <c r="H104" s="740" t="s">
        <v>158</v>
      </c>
      <c r="I104" s="741"/>
      <c r="J104" s="741"/>
      <c r="K104" s="741"/>
      <c r="L104" s="742"/>
    </row>
    <row r="105" spans="2:12" ht="27.75" customHeight="1" x14ac:dyDescent="0.25">
      <c r="B105" s="132"/>
      <c r="C105" s="303" t="s">
        <v>185</v>
      </c>
      <c r="D105" s="13"/>
      <c r="E105" s="13"/>
      <c r="F105" s="14"/>
      <c r="G105" s="304">
        <v>0.25</v>
      </c>
      <c r="H105" s="740" t="s">
        <v>187</v>
      </c>
      <c r="I105" s="741"/>
      <c r="J105" s="741"/>
      <c r="K105" s="741"/>
      <c r="L105" s="742"/>
    </row>
    <row r="106" spans="2:12" ht="27.75" customHeight="1" x14ac:dyDescent="0.25">
      <c r="B106" s="132"/>
      <c r="C106" s="303" t="s">
        <v>183</v>
      </c>
      <c r="D106" s="13"/>
      <c r="E106" s="13"/>
      <c r="F106" s="14"/>
      <c r="G106" s="304">
        <v>1</v>
      </c>
      <c r="H106" s="740" t="s">
        <v>184</v>
      </c>
      <c r="I106" s="741"/>
      <c r="J106" s="741"/>
      <c r="K106" s="741"/>
      <c r="L106" s="742"/>
    </row>
    <row r="107" spans="2:12" ht="27.75" customHeight="1" x14ac:dyDescent="0.25">
      <c r="B107" s="132"/>
      <c r="C107" s="303" t="s">
        <v>181</v>
      </c>
      <c r="D107" s="13"/>
      <c r="E107" s="13"/>
      <c r="F107" s="14"/>
      <c r="G107" s="304">
        <v>0.5</v>
      </c>
      <c r="H107" s="740" t="s">
        <v>180</v>
      </c>
      <c r="I107" s="741"/>
      <c r="J107" s="741"/>
      <c r="K107" s="741"/>
      <c r="L107" s="742"/>
    </row>
    <row r="108" spans="2:12" ht="27.75" customHeight="1" x14ac:dyDescent="0.25">
      <c r="B108" s="132"/>
      <c r="C108" s="303" t="s">
        <v>179</v>
      </c>
      <c r="D108" s="13"/>
      <c r="E108" s="13"/>
      <c r="F108" s="14"/>
      <c r="G108" s="304">
        <v>0.5</v>
      </c>
      <c r="H108" s="740" t="s">
        <v>180</v>
      </c>
      <c r="I108" s="741"/>
      <c r="J108" s="741"/>
      <c r="K108" s="741"/>
      <c r="L108" s="742"/>
    </row>
    <row r="109" spans="2:12" ht="27.75" customHeight="1" x14ac:dyDescent="0.25">
      <c r="B109" s="132"/>
      <c r="C109" s="303" t="s">
        <v>182</v>
      </c>
      <c r="D109" s="13"/>
      <c r="E109" s="13"/>
      <c r="F109" s="14"/>
      <c r="G109" s="304">
        <v>0.5</v>
      </c>
      <c r="H109" s="740" t="s">
        <v>180</v>
      </c>
      <c r="I109" s="741"/>
      <c r="J109" s="741"/>
      <c r="K109" s="741"/>
      <c r="L109" s="742"/>
    </row>
    <row r="110" spans="2:12" ht="27.75" customHeight="1" x14ac:dyDescent="0.25">
      <c r="B110" s="132"/>
      <c r="C110" s="303" t="s">
        <v>189</v>
      </c>
      <c r="D110" s="13"/>
      <c r="E110" s="13"/>
      <c r="F110" s="14"/>
      <c r="G110" s="304">
        <v>1</v>
      </c>
      <c r="H110" s="740" t="s">
        <v>190</v>
      </c>
      <c r="I110" s="741"/>
      <c r="J110" s="741"/>
      <c r="K110" s="741"/>
      <c r="L110" s="742"/>
    </row>
    <row r="111" spans="2:12" ht="27.75" customHeight="1" x14ac:dyDescent="0.25">
      <c r="B111" s="132"/>
      <c r="C111" s="303" t="s">
        <v>188</v>
      </c>
      <c r="D111" s="13"/>
      <c r="E111" s="13"/>
      <c r="F111" s="14"/>
      <c r="G111" s="304">
        <v>1</v>
      </c>
      <c r="H111" s="740" t="s">
        <v>190</v>
      </c>
      <c r="I111" s="741"/>
      <c r="J111" s="741"/>
      <c r="K111" s="741"/>
      <c r="L111" s="742"/>
    </row>
    <row r="112" spans="2:12" ht="27.75" customHeight="1" x14ac:dyDescent="0.25">
      <c r="B112" s="132"/>
      <c r="C112" s="303" t="s">
        <v>186</v>
      </c>
      <c r="D112" s="13"/>
      <c r="E112" s="13"/>
      <c r="F112" s="14"/>
      <c r="G112" s="304">
        <v>0.25</v>
      </c>
      <c r="H112" s="740" t="s">
        <v>187</v>
      </c>
      <c r="I112" s="741"/>
      <c r="J112" s="741"/>
      <c r="K112" s="741"/>
      <c r="L112" s="742"/>
    </row>
    <row r="113" spans="2:12" ht="27.75" customHeight="1" x14ac:dyDescent="0.25">
      <c r="B113" s="132"/>
      <c r="C113" s="303" t="s">
        <v>191</v>
      </c>
      <c r="D113" s="13"/>
      <c r="E113" s="13"/>
      <c r="F113" s="14"/>
      <c r="G113" s="304">
        <v>0.5</v>
      </c>
      <c r="H113" s="740" t="s">
        <v>192</v>
      </c>
      <c r="I113" s="741"/>
      <c r="J113" s="741"/>
      <c r="K113" s="741"/>
      <c r="L113" s="742"/>
    </row>
    <row r="114" spans="2:12" ht="27.75" customHeight="1" x14ac:dyDescent="0.25">
      <c r="B114" s="132"/>
      <c r="C114" s="303" t="s">
        <v>193</v>
      </c>
      <c r="D114" s="13"/>
      <c r="E114" s="13"/>
      <c r="F114" s="14"/>
      <c r="G114" s="304">
        <v>0.5</v>
      </c>
      <c r="H114" s="740" t="s">
        <v>195</v>
      </c>
      <c r="I114" s="741"/>
      <c r="J114" s="741"/>
      <c r="K114" s="741"/>
      <c r="L114" s="742"/>
    </row>
    <row r="115" spans="2:12" ht="27.75" customHeight="1" x14ac:dyDescent="0.25">
      <c r="B115" s="132"/>
      <c r="C115" s="303" t="s">
        <v>194</v>
      </c>
      <c r="D115" s="13"/>
      <c r="E115" s="13"/>
      <c r="F115" s="14"/>
      <c r="G115" s="304">
        <v>0.5</v>
      </c>
      <c r="H115" s="740" t="s">
        <v>195</v>
      </c>
      <c r="I115" s="741"/>
      <c r="J115" s="741"/>
      <c r="K115" s="741"/>
      <c r="L115" s="742"/>
    </row>
    <row r="116" spans="2:12" ht="27.75" customHeight="1" x14ac:dyDescent="0.25">
      <c r="B116" s="132"/>
      <c r="C116" s="303" t="s">
        <v>196</v>
      </c>
      <c r="D116" s="13"/>
      <c r="E116" s="13"/>
      <c r="F116" s="14"/>
      <c r="G116" s="304">
        <v>0.25</v>
      </c>
      <c r="H116" s="740" t="s">
        <v>197</v>
      </c>
      <c r="I116" s="741"/>
      <c r="J116" s="741"/>
      <c r="K116" s="741"/>
      <c r="L116" s="742"/>
    </row>
    <row r="117" spans="2:12" ht="27.75" customHeight="1" x14ac:dyDescent="0.25">
      <c r="B117" s="132"/>
      <c r="C117" s="303" t="s">
        <v>198</v>
      </c>
      <c r="D117" s="13"/>
      <c r="E117" s="13"/>
      <c r="F117" s="14"/>
      <c r="G117" s="304">
        <v>0.75</v>
      </c>
      <c r="H117" s="740" t="s">
        <v>199</v>
      </c>
      <c r="I117" s="741"/>
      <c r="J117" s="741"/>
      <c r="K117" s="741"/>
      <c r="L117" s="742"/>
    </row>
    <row r="118" spans="2:12" ht="27.75" customHeight="1" x14ac:dyDescent="0.25">
      <c r="B118" s="132"/>
      <c r="C118" s="303" t="s">
        <v>201</v>
      </c>
      <c r="D118" s="13"/>
      <c r="E118" s="13"/>
      <c r="F118" s="14"/>
      <c r="G118" s="304">
        <v>0.5</v>
      </c>
      <c r="H118" s="740" t="s">
        <v>203</v>
      </c>
      <c r="I118" s="741"/>
      <c r="J118" s="741"/>
      <c r="K118" s="741"/>
      <c r="L118" s="742"/>
    </row>
    <row r="119" spans="2:12" ht="27.75" customHeight="1" x14ac:dyDescent="0.25">
      <c r="B119" s="132"/>
      <c r="C119" s="303" t="s">
        <v>200</v>
      </c>
      <c r="D119" s="13"/>
      <c r="E119" s="13"/>
      <c r="F119" s="14"/>
      <c r="G119" s="304">
        <v>0.5</v>
      </c>
      <c r="H119" s="740" t="s">
        <v>203</v>
      </c>
      <c r="I119" s="741"/>
      <c r="J119" s="741"/>
      <c r="K119" s="741"/>
      <c r="L119" s="742"/>
    </row>
    <row r="120" spans="2:12" ht="27.75" customHeight="1" x14ac:dyDescent="0.25">
      <c r="B120" s="132"/>
      <c r="C120" s="303" t="s">
        <v>204</v>
      </c>
      <c r="D120" s="13"/>
      <c r="E120" s="13"/>
      <c r="F120" s="14"/>
      <c r="G120" s="304">
        <v>0.5</v>
      </c>
      <c r="H120" s="740" t="s">
        <v>205</v>
      </c>
      <c r="I120" s="741"/>
      <c r="J120" s="741"/>
      <c r="K120" s="741"/>
      <c r="L120" s="742"/>
    </row>
    <row r="121" spans="2:12" ht="21" customHeight="1" x14ac:dyDescent="0.25">
      <c r="C121" s="303" t="s">
        <v>210</v>
      </c>
      <c r="D121" s="13"/>
      <c r="E121" s="13"/>
      <c r="F121" s="14"/>
      <c r="G121" s="304">
        <v>0</v>
      </c>
      <c r="H121" s="740"/>
      <c r="I121" s="741"/>
      <c r="J121" s="741"/>
      <c r="K121" s="741"/>
      <c r="L121" s="742"/>
    </row>
    <row r="122" spans="2:12" ht="21" customHeight="1" x14ac:dyDescent="0.25"/>
    <row r="123" spans="2:12" ht="21" customHeight="1" x14ac:dyDescent="0.25"/>
    <row r="124" spans="2:12" ht="21" customHeight="1" x14ac:dyDescent="0.25"/>
    <row r="125" spans="2:12" ht="21" customHeight="1" x14ac:dyDescent="0.25">
      <c r="C125" s="159" t="s">
        <v>232</v>
      </c>
      <c r="D125" s="132"/>
    </row>
    <row r="126" spans="2:12" ht="21" customHeight="1" thickBot="1" x14ac:dyDescent="0.3">
      <c r="C126" s="420" t="s">
        <v>229</v>
      </c>
      <c r="D126" s="132"/>
    </row>
    <row r="127" spans="2:12" ht="21" customHeight="1" thickBot="1" x14ac:dyDescent="0.3">
      <c r="C127" s="335" t="s">
        <v>492</v>
      </c>
      <c r="D127" s="333"/>
      <c r="E127" s="334" t="s">
        <v>233</v>
      </c>
    </row>
    <row r="128" spans="2:12" ht="21" customHeight="1" x14ac:dyDescent="0.3">
      <c r="C128" s="287" t="s">
        <v>493</v>
      </c>
      <c r="D128" s="336"/>
      <c r="E128" s="329">
        <v>69.135714285714343</v>
      </c>
      <c r="F128" s="293"/>
    </row>
    <row r="129" spans="3:6" ht="21" customHeight="1" x14ac:dyDescent="0.3">
      <c r="C129" s="288" t="s">
        <v>494</v>
      </c>
      <c r="D129" s="337"/>
      <c r="E129" s="330">
        <v>14.45</v>
      </c>
      <c r="F129" s="293"/>
    </row>
    <row r="130" spans="3:6" ht="21" customHeight="1" x14ac:dyDescent="0.3">
      <c r="C130" s="288" t="s">
        <v>495</v>
      </c>
      <c r="D130" s="337"/>
      <c r="E130" s="330">
        <v>66.7</v>
      </c>
      <c r="F130" s="293"/>
    </row>
    <row r="131" spans="3:6" ht="21" customHeight="1" x14ac:dyDescent="0.3">
      <c r="C131" s="288" t="s">
        <v>496</v>
      </c>
      <c r="D131" s="337"/>
      <c r="E131" s="330">
        <v>51.764285714285506</v>
      </c>
      <c r="F131" s="293"/>
    </row>
    <row r="132" spans="3:6" ht="21" customHeight="1" x14ac:dyDescent="0.3">
      <c r="C132" s="288" t="s">
        <v>497</v>
      </c>
      <c r="D132" s="337"/>
      <c r="E132" s="330">
        <v>59.73571428571428</v>
      </c>
      <c r="F132" s="293"/>
    </row>
    <row r="133" spans="3:6" ht="21" customHeight="1" x14ac:dyDescent="0.3">
      <c r="C133" s="288" t="s">
        <v>498</v>
      </c>
      <c r="D133" s="337"/>
      <c r="E133" s="330">
        <v>96.9</v>
      </c>
      <c r="F133" s="293"/>
    </row>
    <row r="134" spans="3:6" ht="21" customHeight="1" x14ac:dyDescent="0.3">
      <c r="C134" s="288" t="s">
        <v>499</v>
      </c>
      <c r="D134" s="337"/>
      <c r="E134" s="330">
        <v>64.842857142857255</v>
      </c>
      <c r="F134" s="293"/>
    </row>
    <row r="135" spans="3:6" ht="21" customHeight="1" x14ac:dyDescent="0.3">
      <c r="C135" s="288" t="s">
        <v>500</v>
      </c>
      <c r="D135" s="337"/>
      <c r="E135" s="330">
        <v>51.221428571428845</v>
      </c>
      <c r="F135" s="293"/>
    </row>
    <row r="136" spans="3:6" ht="21" customHeight="1" x14ac:dyDescent="0.3">
      <c r="C136" s="288" t="s">
        <v>501</v>
      </c>
      <c r="D136" s="337"/>
      <c r="E136" s="330">
        <v>19.664285714285707</v>
      </c>
      <c r="F136" s="293"/>
    </row>
    <row r="137" spans="3:6" ht="21" customHeight="1" x14ac:dyDescent="0.3">
      <c r="C137" s="288" t="s">
        <v>502</v>
      </c>
      <c r="D137" s="337"/>
      <c r="E137" s="330">
        <v>32.1</v>
      </c>
      <c r="F137" s="293"/>
    </row>
    <row r="138" spans="3:6" ht="21" customHeight="1" x14ac:dyDescent="0.3">
      <c r="C138" s="288" t="s">
        <v>490</v>
      </c>
      <c r="D138" s="337"/>
      <c r="E138" s="330">
        <v>114.9</v>
      </c>
      <c r="F138" s="293"/>
    </row>
    <row r="139" spans="3:6" ht="21" customHeight="1" x14ac:dyDescent="0.3">
      <c r="C139" s="288" t="s">
        <v>491</v>
      </c>
      <c r="D139" s="337"/>
      <c r="E139" s="330">
        <v>23.271428571428551</v>
      </c>
      <c r="F139" s="293"/>
    </row>
    <row r="140" spans="3:6" ht="21" customHeight="1" x14ac:dyDescent="0.3">
      <c r="C140" s="288" t="s">
        <v>503</v>
      </c>
      <c r="D140" s="337"/>
      <c r="E140" s="330">
        <v>15.014285714285727</v>
      </c>
      <c r="F140" s="293"/>
    </row>
    <row r="141" spans="3:6" ht="21" customHeight="1" thickBot="1" x14ac:dyDescent="0.35">
      <c r="C141" s="289"/>
      <c r="D141" s="338"/>
      <c r="E141" s="331"/>
      <c r="F141" s="293"/>
    </row>
    <row r="142" spans="3:6" ht="21" customHeight="1" x14ac:dyDescent="0.25">
      <c r="C142" s="137" t="s">
        <v>129</v>
      </c>
      <c r="D142" s="132"/>
    </row>
    <row r="143" spans="3:6" ht="21" customHeight="1" x14ac:dyDescent="0.25">
      <c r="C143" s="132"/>
      <c r="D143" s="132"/>
    </row>
  </sheetData>
  <sheetProtection password="CDF4" sheet="1" objects="1" scenarios="1"/>
  <mergeCells count="42">
    <mergeCell ref="H97:L97"/>
    <mergeCell ref="H99:L99"/>
    <mergeCell ref="H119:L119"/>
    <mergeCell ref="H110:L110"/>
    <mergeCell ref="H111:L111"/>
    <mergeCell ref="H112:L112"/>
    <mergeCell ref="H98:L98"/>
    <mergeCell ref="H100:L100"/>
    <mergeCell ref="H106:L106"/>
    <mergeCell ref="H107:L107"/>
    <mergeCell ref="H103:L103"/>
    <mergeCell ref="H104:L104"/>
    <mergeCell ref="H101:L101"/>
    <mergeCell ref="H102:L102"/>
    <mergeCell ref="H105:L105"/>
    <mergeCell ref="H121:L121"/>
    <mergeCell ref="H116:L116"/>
    <mergeCell ref="H117:L117"/>
    <mergeCell ref="H108:L108"/>
    <mergeCell ref="H109:L109"/>
    <mergeCell ref="H120:L120"/>
    <mergeCell ref="H113:L113"/>
    <mergeCell ref="H114:L114"/>
    <mergeCell ref="H115:L115"/>
    <mergeCell ref="H118:L118"/>
    <mergeCell ref="C22:D22"/>
    <mergeCell ref="C39:F39"/>
    <mergeCell ref="H96:L96"/>
    <mergeCell ref="H94:L94"/>
    <mergeCell ref="H95:L95"/>
    <mergeCell ref="H89:L89"/>
    <mergeCell ref="H87:L87"/>
    <mergeCell ref="H90:L90"/>
    <mergeCell ref="H91:L91"/>
    <mergeCell ref="H92:L92"/>
    <mergeCell ref="H93:L93"/>
    <mergeCell ref="O28:P28"/>
    <mergeCell ref="I39:K39"/>
    <mergeCell ref="H86:L86"/>
    <mergeCell ref="C61:D61"/>
    <mergeCell ref="H88:L88"/>
    <mergeCell ref="C86:F86"/>
  </mergeCells>
  <phoneticPr fontId="4" type="noConversion"/>
  <hyperlinks>
    <hyperlink ref="C126" location="'Road Waivers'!A1" display="Top of Page" xr:uid="{00000000-0004-0000-0A00-000000000000}"/>
  </hyperlink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locked="0" defaultSize="0" autoFill="0" autoLine="0" autoPict="0">
                <anchor moveWithCells="1">
                  <from>
                    <xdr:col>1</xdr:col>
                    <xdr:colOff>213360</xdr:colOff>
                    <xdr:row>3</xdr:row>
                    <xdr:rowOff>60960</xdr:rowOff>
                  </from>
                  <to>
                    <xdr:col>9</xdr:col>
                    <xdr:colOff>563880</xdr:colOff>
                    <xdr:row>4</xdr:row>
                    <xdr:rowOff>30480</xdr:rowOff>
                  </to>
                </anchor>
              </controlPr>
            </control>
          </mc:Choice>
        </mc:AlternateContent>
        <mc:AlternateContent xmlns:mc="http://schemas.openxmlformats.org/markup-compatibility/2006">
          <mc:Choice Requires="x14">
            <control shapeId="16386" r:id="rId5" name="Check Box 2">
              <controlPr locked="0" defaultSize="0" autoFill="0" autoLine="0" autoPict="0">
                <anchor moveWithCells="1">
                  <from>
                    <xdr:col>1</xdr:col>
                    <xdr:colOff>213360</xdr:colOff>
                    <xdr:row>4</xdr:row>
                    <xdr:rowOff>38100</xdr:rowOff>
                  </from>
                  <to>
                    <xdr:col>9</xdr:col>
                    <xdr:colOff>2430780</xdr:colOff>
                    <xdr:row>5</xdr:row>
                    <xdr:rowOff>38100</xdr:rowOff>
                  </to>
                </anchor>
              </controlPr>
            </control>
          </mc:Choice>
        </mc:AlternateContent>
        <mc:AlternateContent xmlns:mc="http://schemas.openxmlformats.org/markup-compatibility/2006">
          <mc:Choice Requires="x14">
            <control shapeId="16387" r:id="rId6" name="Check Box 3">
              <controlPr locked="0" defaultSize="0" autoFill="0" autoLine="0" autoPict="0">
                <anchor moveWithCells="1">
                  <from>
                    <xdr:col>1</xdr:col>
                    <xdr:colOff>213360</xdr:colOff>
                    <xdr:row>5</xdr:row>
                    <xdr:rowOff>45720</xdr:rowOff>
                  </from>
                  <to>
                    <xdr:col>6</xdr:col>
                    <xdr:colOff>800100</xdr:colOff>
                    <xdr:row>6</xdr:row>
                    <xdr:rowOff>45720</xdr:rowOff>
                  </to>
                </anchor>
              </controlPr>
            </control>
          </mc:Choice>
        </mc:AlternateContent>
        <mc:AlternateContent xmlns:mc="http://schemas.openxmlformats.org/markup-compatibility/2006">
          <mc:Choice Requires="x14">
            <control shapeId="16388" r:id="rId7" name="Check Box 4">
              <controlPr locked="0" defaultSize="0" autoFill="0" autoLine="0" autoPict="0">
                <anchor moveWithCells="1">
                  <from>
                    <xdr:col>1</xdr:col>
                    <xdr:colOff>213360</xdr:colOff>
                    <xdr:row>6</xdr:row>
                    <xdr:rowOff>60960</xdr:rowOff>
                  </from>
                  <to>
                    <xdr:col>8</xdr:col>
                    <xdr:colOff>495300</xdr:colOff>
                    <xdr:row>7</xdr:row>
                    <xdr:rowOff>60960</xdr:rowOff>
                  </to>
                </anchor>
              </controlPr>
            </control>
          </mc:Choice>
        </mc:AlternateContent>
        <mc:AlternateContent xmlns:mc="http://schemas.openxmlformats.org/markup-compatibility/2006">
          <mc:Choice Requires="x14">
            <control shapeId="16389" r:id="rId8" name="Check Box 5">
              <controlPr locked="0" defaultSize="0" autoFill="0" autoLine="0" autoPict="0">
                <anchor moveWithCells="1">
                  <from>
                    <xdr:col>1</xdr:col>
                    <xdr:colOff>213360</xdr:colOff>
                    <xdr:row>7</xdr:row>
                    <xdr:rowOff>68580</xdr:rowOff>
                  </from>
                  <to>
                    <xdr:col>13</xdr:col>
                    <xdr:colOff>441960</xdr:colOff>
                    <xdr:row>8</xdr:row>
                    <xdr:rowOff>76200</xdr:rowOff>
                  </to>
                </anchor>
              </controlPr>
            </control>
          </mc:Choice>
        </mc:AlternateContent>
        <mc:AlternateContent xmlns:mc="http://schemas.openxmlformats.org/markup-compatibility/2006">
          <mc:Choice Requires="x14">
            <control shapeId="16391" r:id="rId9" name="Check Box 7">
              <controlPr locked="0" defaultSize="0" autoFill="0" autoLine="0" autoPict="0">
                <anchor moveWithCells="1">
                  <from>
                    <xdr:col>1</xdr:col>
                    <xdr:colOff>213360</xdr:colOff>
                    <xdr:row>17</xdr:row>
                    <xdr:rowOff>7620</xdr:rowOff>
                  </from>
                  <to>
                    <xdr:col>5</xdr:col>
                    <xdr:colOff>617220</xdr:colOff>
                    <xdr:row>18</xdr:row>
                    <xdr:rowOff>7620</xdr:rowOff>
                  </to>
                </anchor>
              </controlPr>
            </control>
          </mc:Choice>
        </mc:AlternateContent>
        <mc:AlternateContent xmlns:mc="http://schemas.openxmlformats.org/markup-compatibility/2006">
          <mc:Choice Requires="x14">
            <control shapeId="16399" r:id="rId10" name="Check Box 15">
              <controlPr locked="0" defaultSize="0" autoFill="0" autoLine="0" autoPict="0">
                <anchor moveWithCells="1">
                  <from>
                    <xdr:col>1</xdr:col>
                    <xdr:colOff>213360</xdr:colOff>
                    <xdr:row>33</xdr:row>
                    <xdr:rowOff>30480</xdr:rowOff>
                  </from>
                  <to>
                    <xdr:col>9</xdr:col>
                    <xdr:colOff>1112520</xdr:colOff>
                    <xdr:row>34</xdr:row>
                    <xdr:rowOff>30480</xdr:rowOff>
                  </to>
                </anchor>
              </controlPr>
            </control>
          </mc:Choice>
        </mc:AlternateContent>
        <mc:AlternateContent xmlns:mc="http://schemas.openxmlformats.org/markup-compatibility/2006">
          <mc:Choice Requires="x14">
            <control shapeId="16401" r:id="rId11" name="Drop Down 17">
              <controlPr defaultSize="0" autoLine="0" autoPict="0">
                <anchor moveWithCells="1">
                  <from>
                    <xdr:col>8</xdr:col>
                    <xdr:colOff>0</xdr:colOff>
                    <xdr:row>39</xdr:row>
                    <xdr:rowOff>7620</xdr:rowOff>
                  </from>
                  <to>
                    <xdr:col>11</xdr:col>
                    <xdr:colOff>30480</xdr:colOff>
                    <xdr:row>40</xdr:row>
                    <xdr:rowOff>22860</xdr:rowOff>
                  </to>
                </anchor>
              </controlPr>
            </control>
          </mc:Choice>
        </mc:AlternateContent>
        <mc:AlternateContent xmlns:mc="http://schemas.openxmlformats.org/markup-compatibility/2006">
          <mc:Choice Requires="x14">
            <control shapeId="16402" r:id="rId12" name="Drop Down 18">
              <controlPr defaultSize="0" autoLine="0" autoPict="0">
                <anchor moveWithCells="1">
                  <from>
                    <xdr:col>8</xdr:col>
                    <xdr:colOff>0</xdr:colOff>
                    <xdr:row>40</xdr:row>
                    <xdr:rowOff>7620</xdr:rowOff>
                  </from>
                  <to>
                    <xdr:col>11</xdr:col>
                    <xdr:colOff>22860</xdr:colOff>
                    <xdr:row>41</xdr:row>
                    <xdr:rowOff>7620</xdr:rowOff>
                  </to>
                </anchor>
              </controlPr>
            </control>
          </mc:Choice>
        </mc:AlternateContent>
        <mc:AlternateContent xmlns:mc="http://schemas.openxmlformats.org/markup-compatibility/2006">
          <mc:Choice Requires="x14">
            <control shapeId="16403" r:id="rId13" name="Drop Down 19">
              <controlPr defaultSize="0" autoLine="0" autoPict="0">
                <anchor moveWithCells="1">
                  <from>
                    <xdr:col>8</xdr:col>
                    <xdr:colOff>0</xdr:colOff>
                    <xdr:row>41</xdr:row>
                    <xdr:rowOff>7620</xdr:rowOff>
                  </from>
                  <to>
                    <xdr:col>11</xdr:col>
                    <xdr:colOff>22860</xdr:colOff>
                    <xdr:row>42</xdr:row>
                    <xdr:rowOff>22860</xdr:rowOff>
                  </to>
                </anchor>
              </controlPr>
            </control>
          </mc:Choice>
        </mc:AlternateContent>
        <mc:AlternateContent xmlns:mc="http://schemas.openxmlformats.org/markup-compatibility/2006">
          <mc:Choice Requires="x14">
            <control shapeId="16404" r:id="rId14" name="Check Box 20">
              <controlPr locked="0" defaultSize="0" autoFill="0" autoLine="0" autoPict="0">
                <anchor moveWithCells="1">
                  <from>
                    <xdr:col>1</xdr:col>
                    <xdr:colOff>213360</xdr:colOff>
                    <xdr:row>34</xdr:row>
                    <xdr:rowOff>38100</xdr:rowOff>
                  </from>
                  <to>
                    <xdr:col>5</xdr:col>
                    <xdr:colOff>236220</xdr:colOff>
                    <xdr:row>35</xdr:row>
                    <xdr:rowOff>38100</xdr:rowOff>
                  </to>
                </anchor>
              </controlPr>
            </control>
          </mc:Choice>
        </mc:AlternateContent>
        <mc:AlternateContent xmlns:mc="http://schemas.openxmlformats.org/markup-compatibility/2006">
          <mc:Choice Requires="x14">
            <control shapeId="16411" r:id="rId15" name="Check Box 27">
              <controlPr locked="0" defaultSize="0" autoFill="0" autoLine="0" autoPict="0">
                <anchor moveWithCells="1">
                  <from>
                    <xdr:col>1</xdr:col>
                    <xdr:colOff>213360</xdr:colOff>
                    <xdr:row>55</xdr:row>
                    <xdr:rowOff>7620</xdr:rowOff>
                  </from>
                  <to>
                    <xdr:col>6</xdr:col>
                    <xdr:colOff>762000</xdr:colOff>
                    <xdr:row>56</xdr:row>
                    <xdr:rowOff>7620</xdr:rowOff>
                  </to>
                </anchor>
              </controlPr>
            </control>
          </mc:Choice>
        </mc:AlternateContent>
        <mc:AlternateContent xmlns:mc="http://schemas.openxmlformats.org/markup-compatibility/2006">
          <mc:Choice Requires="x14">
            <control shapeId="16413" r:id="rId16" name="Check Box 29">
              <controlPr locked="0" defaultSize="0" autoFill="0" autoLine="0" autoPict="0">
                <anchor moveWithCells="1">
                  <from>
                    <xdr:col>2</xdr:col>
                    <xdr:colOff>0</xdr:colOff>
                    <xdr:row>55</xdr:row>
                    <xdr:rowOff>251460</xdr:rowOff>
                  </from>
                  <to>
                    <xdr:col>6</xdr:col>
                    <xdr:colOff>289560</xdr:colOff>
                    <xdr:row>56</xdr:row>
                    <xdr:rowOff>251460</xdr:rowOff>
                  </to>
                </anchor>
              </controlPr>
            </control>
          </mc:Choice>
        </mc:AlternateContent>
        <mc:AlternateContent xmlns:mc="http://schemas.openxmlformats.org/markup-compatibility/2006">
          <mc:Choice Requires="x14">
            <control shapeId="16414" r:id="rId17" name="Check Box 30">
              <controlPr locked="0" defaultSize="0" autoFill="0" autoLine="0" autoPict="0">
                <anchor moveWithCells="1">
                  <from>
                    <xdr:col>1</xdr:col>
                    <xdr:colOff>213360</xdr:colOff>
                    <xdr:row>56</xdr:row>
                    <xdr:rowOff>228600</xdr:rowOff>
                  </from>
                  <to>
                    <xdr:col>9</xdr:col>
                    <xdr:colOff>83820</xdr:colOff>
                    <xdr:row>57</xdr:row>
                    <xdr:rowOff>228600</xdr:rowOff>
                  </to>
                </anchor>
              </controlPr>
            </control>
          </mc:Choice>
        </mc:AlternateContent>
        <mc:AlternateContent xmlns:mc="http://schemas.openxmlformats.org/markup-compatibility/2006">
          <mc:Choice Requires="x14">
            <control shapeId="16416" r:id="rId18" name="Check Box 32">
              <controlPr locked="0" defaultSize="0" autoFill="0" autoLine="0" autoPict="0">
                <anchor moveWithCells="1">
                  <from>
                    <xdr:col>1</xdr:col>
                    <xdr:colOff>213360</xdr:colOff>
                    <xdr:row>16</xdr:row>
                    <xdr:rowOff>45720</xdr:rowOff>
                  </from>
                  <to>
                    <xdr:col>6</xdr:col>
                    <xdr:colOff>693420</xdr:colOff>
                    <xdr:row>17</xdr:row>
                    <xdr:rowOff>45720</xdr:rowOff>
                  </to>
                </anchor>
              </controlPr>
            </control>
          </mc:Choice>
        </mc:AlternateContent>
        <mc:AlternateContent xmlns:mc="http://schemas.openxmlformats.org/markup-compatibility/2006">
          <mc:Choice Requires="x14">
            <control shapeId="16417" r:id="rId19" name="Check Box 33">
              <controlPr locked="0" defaultSize="0" autoFill="0" autoLine="0" autoPict="0">
                <anchor moveWithCells="1">
                  <from>
                    <xdr:col>1</xdr:col>
                    <xdr:colOff>213360</xdr:colOff>
                    <xdr:row>32</xdr:row>
                    <xdr:rowOff>22860</xdr:rowOff>
                  </from>
                  <to>
                    <xdr:col>6</xdr:col>
                    <xdr:colOff>693420</xdr:colOff>
                    <xdr:row>33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S38"/>
  <sheetViews>
    <sheetView zoomScale="75" workbookViewId="0"/>
  </sheetViews>
  <sheetFormatPr defaultColWidth="9.109375" defaultRowHeight="13.2" x14ac:dyDescent="0.25"/>
  <cols>
    <col min="1" max="2" width="2.6640625" style="132" customWidth="1"/>
    <col min="3" max="3" width="35.6640625" style="132" customWidth="1"/>
    <col min="4" max="11" width="10.6640625" style="132" customWidth="1"/>
    <col min="12" max="12" width="10.33203125" style="132" customWidth="1"/>
    <col min="13" max="13" width="11" style="132" customWidth="1"/>
    <col min="14" max="14" width="9.6640625" style="132" customWidth="1"/>
    <col min="15" max="17" width="11.5546875" style="132" customWidth="1"/>
    <col min="18" max="16384" width="9.109375" style="132"/>
  </cols>
  <sheetData>
    <row r="1" spans="1:19" ht="27" customHeight="1" x14ac:dyDescent="0.25">
      <c r="A1" s="430" t="s">
        <v>453</v>
      </c>
      <c r="B1" s="431"/>
      <c r="C1" s="431"/>
      <c r="D1" s="431"/>
      <c r="E1" s="431"/>
      <c r="F1" s="431"/>
      <c r="G1" s="431"/>
      <c r="H1" s="431"/>
      <c r="I1" s="431"/>
      <c r="J1" s="431"/>
      <c r="K1" s="431"/>
      <c r="L1" s="431"/>
      <c r="M1" s="431"/>
      <c r="N1" s="431"/>
      <c r="O1" s="431"/>
      <c r="R1" s="237"/>
    </row>
    <row r="2" spans="1:19" ht="50.25" customHeight="1" x14ac:dyDescent="0.25">
      <c r="A2" s="283"/>
      <c r="B2" s="292"/>
      <c r="C2" s="292"/>
      <c r="D2" s="292"/>
      <c r="E2" s="292"/>
      <c r="F2" s="292"/>
      <c r="G2" s="292"/>
      <c r="H2" s="292"/>
      <c r="I2" s="292"/>
      <c r="J2" s="292"/>
      <c r="K2" s="292"/>
      <c r="L2" s="292"/>
      <c r="M2" s="292"/>
      <c r="N2" s="292"/>
      <c r="O2" s="292"/>
      <c r="P2" s="292"/>
      <c r="Q2" s="292"/>
      <c r="R2" s="292"/>
    </row>
    <row r="3" spans="1:19" ht="28.5" customHeight="1" x14ac:dyDescent="0.25">
      <c r="B3" s="180"/>
      <c r="C3" s="285"/>
      <c r="D3" s="285"/>
      <c r="S3" s="237"/>
    </row>
    <row r="4" spans="1:19" x14ac:dyDescent="0.25">
      <c r="B4" s="180"/>
      <c r="C4" s="285"/>
      <c r="D4" s="285"/>
      <c r="S4" s="237"/>
    </row>
    <row r="5" spans="1:19" ht="15.6" x14ac:dyDescent="0.3">
      <c r="A5" s="233"/>
      <c r="B5" s="180" t="s">
        <v>252</v>
      </c>
      <c r="C5" s="284"/>
      <c r="D5" s="284"/>
      <c r="E5" s="284"/>
      <c r="F5" s="284"/>
      <c r="G5" s="284"/>
      <c r="H5" s="284"/>
      <c r="I5" s="284"/>
      <c r="J5" s="284"/>
      <c r="K5" s="284"/>
      <c r="L5" s="284"/>
      <c r="M5" s="284"/>
      <c r="N5" s="284"/>
      <c r="P5" s="284"/>
      <c r="Q5" s="284"/>
      <c r="R5" s="284"/>
      <c r="S5" s="237"/>
    </row>
    <row r="6" spans="1:19" ht="15.6" x14ac:dyDescent="0.3">
      <c r="A6" s="233"/>
      <c r="B6" s="291"/>
      <c r="C6" s="284"/>
      <c r="D6" s="284"/>
      <c r="E6" s="284"/>
      <c r="F6" s="284"/>
      <c r="G6" s="284"/>
      <c r="H6" s="284"/>
      <c r="I6" s="284"/>
      <c r="J6" s="284"/>
      <c r="K6" s="284"/>
      <c r="L6" s="284"/>
      <c r="M6" s="284"/>
      <c r="N6" s="284"/>
      <c r="P6" s="284"/>
      <c r="Q6" s="284"/>
      <c r="R6" s="284"/>
      <c r="S6" s="237"/>
    </row>
    <row r="7" spans="1:19" ht="39.75" customHeight="1" x14ac:dyDescent="0.3">
      <c r="A7" s="233"/>
      <c r="B7" s="284"/>
      <c r="C7" s="749" t="s">
        <v>248</v>
      </c>
      <c r="D7" s="749" t="s">
        <v>488</v>
      </c>
      <c r="E7" s="749" t="s">
        <v>249</v>
      </c>
      <c r="F7" s="749" t="s">
        <v>465</v>
      </c>
      <c r="G7" s="746" t="s">
        <v>466</v>
      </c>
      <c r="H7" s="748"/>
      <c r="I7" s="751" t="str">
        <f>"Net Contribution          ($"&amp;Sewer!M8&amp; ")"</f>
        <v>Net Contribution          ($Jun '09)</v>
      </c>
      <c r="J7" s="748"/>
      <c r="K7" s="746" t="str">
        <f>"Waiver ($"&amp;Sewer!M8&amp; ")"</f>
        <v>Waiver ($Jun '09)</v>
      </c>
      <c r="L7" s="748"/>
      <c r="M7" s="284"/>
      <c r="N7" s="284"/>
      <c r="P7" s="284"/>
      <c r="Q7" s="284"/>
      <c r="R7" s="284"/>
      <c r="S7" s="237"/>
    </row>
    <row r="8" spans="1:19" ht="51" customHeight="1" x14ac:dyDescent="0.3">
      <c r="A8" s="233"/>
      <c r="B8" s="284"/>
      <c r="C8" s="750"/>
      <c r="D8" s="750"/>
      <c r="E8" s="750"/>
      <c r="F8" s="750"/>
      <c r="G8" s="435" t="s">
        <v>704</v>
      </c>
      <c r="H8" s="435" t="s">
        <v>598</v>
      </c>
      <c r="I8" s="435" t="s">
        <v>704</v>
      </c>
      <c r="J8" s="435" t="s">
        <v>598</v>
      </c>
      <c r="K8" s="435" t="s">
        <v>704</v>
      </c>
      <c r="L8" s="421" t="s">
        <v>598</v>
      </c>
      <c r="M8" s="284"/>
      <c r="N8" s="284"/>
      <c r="P8" s="284"/>
      <c r="Q8" s="284"/>
      <c r="R8" s="284"/>
      <c r="S8" s="237"/>
    </row>
    <row r="9" spans="1:19" ht="15.6" x14ac:dyDescent="0.3">
      <c r="A9" s="233"/>
      <c r="B9" s="284"/>
      <c r="C9" s="425" t="str">
        <f>+Sewer!B73</f>
        <v>Residential 'A' or 'B' (lots &lt;200m²)</v>
      </c>
      <c r="D9" s="194">
        <v>29</v>
      </c>
      <c r="E9" s="434">
        <f>+SUMIF(Sewer!$AF$14:$AF$18,C9,Sewer!$AG$14:$AG$18)</f>
        <v>0</v>
      </c>
      <c r="F9" s="426">
        <f>+E9*Sewer!F73</f>
        <v>0</v>
      </c>
      <c r="G9" s="426">
        <f>+IF($E$17=0,0,(Sewer!$H$28+Sewer!$H$45)/Sewer!$J$20*'Waiver 4'!F9)</f>
        <v>0</v>
      </c>
      <c r="H9" s="426">
        <f>+IF($E$17=0,0,(Sewer!$H$36+Sewer!$J$45)/Sewer!$J$20*'Waiver 4'!F9)</f>
        <v>0</v>
      </c>
      <c r="I9" s="423">
        <f>MAX(0,(F9-G9)*Sewer!$L$8)</f>
        <v>0</v>
      </c>
      <c r="J9" s="423">
        <f>MAX(0,(F9-H9)*Sewer!$L$9)</f>
        <v>0</v>
      </c>
      <c r="K9" s="424">
        <f>+I9*$D9/100</f>
        <v>0</v>
      </c>
      <c r="L9" s="424">
        <f>+J9*$D9/100</f>
        <v>0</v>
      </c>
      <c r="M9" s="284"/>
      <c r="N9" s="284"/>
      <c r="O9" s="432"/>
      <c r="Q9" s="284"/>
      <c r="R9" s="284"/>
      <c r="S9" s="237"/>
    </row>
    <row r="10" spans="1:19" ht="15.6" x14ac:dyDescent="0.3">
      <c r="A10" s="233"/>
      <c r="B10" s="284"/>
      <c r="C10" s="425" t="str">
        <f>+Sewer!B74</f>
        <v>Residential 'A' or 'B' (lots 200m² to 299m²)</v>
      </c>
      <c r="D10" s="194">
        <v>14</v>
      </c>
      <c r="E10" s="434">
        <f>+SUMIF(Sewer!$AF$14:$AF$18,C10,Sewer!$AG$14:$AG$18)</f>
        <v>0</v>
      </c>
      <c r="F10" s="426">
        <f>+E10*Sewer!F74</f>
        <v>0</v>
      </c>
      <c r="G10" s="426">
        <f>+IF($E$17=0,0,(Sewer!$H$28+Sewer!$H$45)/Sewer!$J$20*'Waiver 4'!F10)</f>
        <v>0</v>
      </c>
      <c r="H10" s="426">
        <f>+IF($E$17=0,0,(Sewer!$H$36+Sewer!$J$45)/Sewer!$J$20*'Waiver 4'!F10)</f>
        <v>0</v>
      </c>
      <c r="I10" s="423">
        <f>MAX(0,(F10-G10)*Sewer!$L$8)</f>
        <v>0</v>
      </c>
      <c r="J10" s="423">
        <f>MAX(0,(F10-H10)*Sewer!$L$9)</f>
        <v>0</v>
      </c>
      <c r="K10" s="424">
        <f t="shared" ref="K10:K16" si="0">+I10*$D10/100</f>
        <v>0</v>
      </c>
      <c r="L10" s="424">
        <f t="shared" ref="L10:L16" si="1">+J10*$D10/100</f>
        <v>0</v>
      </c>
      <c r="M10" s="284"/>
      <c r="N10" s="284"/>
      <c r="O10" s="432"/>
      <c r="Q10" s="284"/>
      <c r="R10" s="284"/>
      <c r="S10" s="237"/>
    </row>
    <row r="11" spans="1:19" ht="15.6" x14ac:dyDescent="0.3">
      <c r="A11" s="233"/>
      <c r="B11" s="284"/>
      <c r="C11" s="425" t="str">
        <f>+Sewer!B75</f>
        <v>Residential 'A' or 'B' (lots 300m² to 399m²)</v>
      </c>
      <c r="D11" s="194">
        <v>7</v>
      </c>
      <c r="E11" s="434">
        <f>+SUMIF(Sewer!$AF$14:$AF$18,C11,Sewer!$AG$14:$AG$18)</f>
        <v>0</v>
      </c>
      <c r="F11" s="426">
        <f>+E11*Sewer!F75</f>
        <v>0</v>
      </c>
      <c r="G11" s="426">
        <f>+IF($E$17=0,0,(Sewer!$H$28+Sewer!$H$45)/Sewer!$J$20*'Waiver 4'!F11)</f>
        <v>0</v>
      </c>
      <c r="H11" s="426">
        <f>+IF($E$17=0,0,(Sewer!$H$36+Sewer!$J$45)/Sewer!$J$20*'Waiver 4'!F11)</f>
        <v>0</v>
      </c>
      <c r="I11" s="423">
        <f>MAX(0,(F11-G11)*Sewer!$L$8)</f>
        <v>0</v>
      </c>
      <c r="J11" s="423">
        <f>MAX(0,(F11-H11)*Sewer!$L$9)</f>
        <v>0</v>
      </c>
      <c r="K11" s="424">
        <f t="shared" si="0"/>
        <v>0</v>
      </c>
      <c r="L11" s="424">
        <f t="shared" si="1"/>
        <v>0</v>
      </c>
      <c r="M11" s="284"/>
      <c r="N11" s="284"/>
      <c r="O11" s="432"/>
      <c r="Q11" s="284"/>
      <c r="R11" s="284"/>
      <c r="S11" s="237"/>
    </row>
    <row r="12" spans="1:19" ht="15.6" x14ac:dyDescent="0.3">
      <c r="A12" s="233"/>
      <c r="B12" s="284"/>
      <c r="C12" s="425" t="str">
        <f>+Sewer!B76</f>
        <v>Residential 'A' or 'B' (lots 400m² or larger)</v>
      </c>
      <c r="D12" s="194">
        <v>0</v>
      </c>
      <c r="E12" s="434">
        <f>+SUMIF(Sewer!$AF$14:$AF$18,C12,Sewer!$AG$14:$AG$18)</f>
        <v>0</v>
      </c>
      <c r="F12" s="426">
        <f>+E12*Sewer!F76</f>
        <v>0</v>
      </c>
      <c r="G12" s="426">
        <f>+IF($E$17=0,0,(Sewer!$H$28+Sewer!$H$45)/Sewer!$J$20*'Waiver 4'!F12)</f>
        <v>0</v>
      </c>
      <c r="H12" s="426">
        <f>+IF($E$17=0,0,(Sewer!$H$36+Sewer!$J$45)/Sewer!$J$20*'Waiver 4'!F12)</f>
        <v>0</v>
      </c>
      <c r="I12" s="423">
        <f>MAX(0,(F12-G12)*Sewer!$L$8)</f>
        <v>0</v>
      </c>
      <c r="J12" s="423">
        <f>MAX(0,(F12-H12)*Sewer!$L$9)</f>
        <v>0</v>
      </c>
      <c r="K12" s="424">
        <f t="shared" si="0"/>
        <v>0</v>
      </c>
      <c r="L12" s="424">
        <f t="shared" si="1"/>
        <v>0</v>
      </c>
      <c r="M12" s="284"/>
      <c r="N12" s="284"/>
      <c r="O12" s="432"/>
      <c r="Q12" s="284"/>
      <c r="R12" s="284"/>
      <c r="S12" s="237"/>
    </row>
    <row r="13" spans="1:19" ht="15.6" x14ac:dyDescent="0.3">
      <c r="A13" s="233"/>
      <c r="B13" s="284"/>
      <c r="C13" s="425" t="str">
        <f>+Sewer!B77</f>
        <v>Residential 'C' (lots &lt;200m²)</v>
      </c>
      <c r="D13" s="194">
        <v>29</v>
      </c>
      <c r="E13" s="434">
        <f>+SUMIF(Sewer!$AF$14:$AF$18,C13,Sewer!$AG$14:$AG$18)</f>
        <v>0</v>
      </c>
      <c r="F13" s="426">
        <f>+E13*Sewer!F77</f>
        <v>0</v>
      </c>
      <c r="G13" s="426">
        <f>+IF($E$17=0,0,(Sewer!$H$28+Sewer!$H$45)/Sewer!$J$20*'Waiver 4'!F13)</f>
        <v>0</v>
      </c>
      <c r="H13" s="426">
        <f>+IF($E$17=0,0,(Sewer!$H$36+Sewer!$J$45)/Sewer!$J$20*'Waiver 4'!F13)</f>
        <v>0</v>
      </c>
      <c r="I13" s="423">
        <f>MAX(0,(F13-G13)*Sewer!$L$8)</f>
        <v>0</v>
      </c>
      <c r="J13" s="423">
        <f>MAX(0,(F13-H13)*Sewer!$L$9)</f>
        <v>0</v>
      </c>
      <c r="K13" s="424">
        <f t="shared" si="0"/>
        <v>0</v>
      </c>
      <c r="L13" s="424">
        <f t="shared" si="1"/>
        <v>0</v>
      </c>
      <c r="M13" s="284"/>
      <c r="N13" s="284"/>
      <c r="O13" s="432"/>
      <c r="Q13" s="284"/>
      <c r="R13" s="284"/>
      <c r="S13" s="237"/>
    </row>
    <row r="14" spans="1:19" ht="15.6" x14ac:dyDescent="0.3">
      <c r="A14" s="233"/>
      <c r="B14" s="284"/>
      <c r="C14" s="425" t="str">
        <f>+Sewer!B78</f>
        <v>Residential 'C' (lots 200m² to 299m²)</v>
      </c>
      <c r="D14" s="194">
        <v>14</v>
      </c>
      <c r="E14" s="434">
        <f>+SUMIF(Sewer!$AF$14:$AF$18,C14,Sewer!$AG$14:$AG$18)</f>
        <v>0</v>
      </c>
      <c r="F14" s="426">
        <f>+E14*Sewer!F78</f>
        <v>0</v>
      </c>
      <c r="G14" s="426">
        <f>+IF($E$17=0,0,(Sewer!$H$28+Sewer!$H$45)/Sewer!$J$20*'Waiver 4'!F14)</f>
        <v>0</v>
      </c>
      <c r="H14" s="426">
        <f>+IF($E$17=0,0,(Sewer!$H$36+Sewer!$J$45)/Sewer!$J$20*'Waiver 4'!F14)</f>
        <v>0</v>
      </c>
      <c r="I14" s="423">
        <f>MAX(0,(F14-G14)*Sewer!$L$8)</f>
        <v>0</v>
      </c>
      <c r="J14" s="423">
        <f>MAX(0,(F14-H14)*Sewer!$L$9)</f>
        <v>0</v>
      </c>
      <c r="K14" s="424">
        <f t="shared" si="0"/>
        <v>0</v>
      </c>
      <c r="L14" s="424">
        <f t="shared" si="1"/>
        <v>0</v>
      </c>
      <c r="M14" s="284"/>
      <c r="N14" s="284"/>
      <c r="O14" s="432"/>
      <c r="Q14" s="284"/>
      <c r="R14" s="284"/>
      <c r="S14" s="237"/>
    </row>
    <row r="15" spans="1:19" ht="15.6" x14ac:dyDescent="0.3">
      <c r="A15" s="233"/>
      <c r="B15" s="284"/>
      <c r="C15" s="425" t="str">
        <f>+Sewer!B79</f>
        <v>Residential 'C' (lots 300m² to 399m²)</v>
      </c>
      <c r="D15" s="194">
        <v>7</v>
      </c>
      <c r="E15" s="434">
        <f>+SUMIF(Sewer!$AF$14:$AF$18,C15,Sewer!$AG$14:$AG$18)</f>
        <v>0</v>
      </c>
      <c r="F15" s="426">
        <f>+E15*Sewer!F79</f>
        <v>0</v>
      </c>
      <c r="G15" s="426">
        <f>+IF($E$17=0,0,(Sewer!$H$28+Sewer!$H$45)/Sewer!$J$20*'Waiver 4'!F15)</f>
        <v>0</v>
      </c>
      <c r="H15" s="426">
        <f>+IF($E$17=0,0,(Sewer!$H$36+Sewer!$J$45)/Sewer!$J$20*'Waiver 4'!F15)</f>
        <v>0</v>
      </c>
      <c r="I15" s="423">
        <f>MAX(0,(F15-G15)*Sewer!$L$8)</f>
        <v>0</v>
      </c>
      <c r="J15" s="423">
        <f>MAX(0,(F15-H15)*Sewer!$L$9)</f>
        <v>0</v>
      </c>
      <c r="K15" s="424">
        <f t="shared" si="0"/>
        <v>0</v>
      </c>
      <c r="L15" s="424">
        <f t="shared" si="1"/>
        <v>0</v>
      </c>
      <c r="M15" s="284"/>
      <c r="N15" s="284"/>
      <c r="O15" s="432"/>
      <c r="Q15" s="284"/>
      <c r="R15" s="284"/>
      <c r="S15" s="237"/>
    </row>
    <row r="16" spans="1:19" ht="15.6" x14ac:dyDescent="0.3">
      <c r="A16" s="233"/>
      <c r="B16" s="284"/>
      <c r="C16" s="425" t="str">
        <f>+Sewer!B80</f>
        <v>Residential 'C' (lots 400m² or larger)</v>
      </c>
      <c r="D16" s="194">
        <v>0</v>
      </c>
      <c r="E16" s="434">
        <f>+SUMIF(Sewer!$AF$14:$AF$18,C16,Sewer!$AG$14:$AG$18)</f>
        <v>0</v>
      </c>
      <c r="F16" s="426">
        <f>+E16*Sewer!F80</f>
        <v>0</v>
      </c>
      <c r="G16" s="426">
        <f>+IF($E$17=0,0,(Sewer!$H$28+Sewer!$H$45)/Sewer!$J$20*'Waiver 4'!F16)</f>
        <v>0</v>
      </c>
      <c r="H16" s="426">
        <f>+IF($E$17=0,0,(Sewer!$H$36+Sewer!$J$45)/Sewer!$J$20*'Waiver 4'!F16)</f>
        <v>0</v>
      </c>
      <c r="I16" s="423">
        <f>MAX(0,(F16-G16)*Sewer!$L$8)</f>
        <v>0</v>
      </c>
      <c r="J16" s="423">
        <f>MAX(0,(F16-H16)*Sewer!$L$9)</f>
        <v>0</v>
      </c>
      <c r="K16" s="424">
        <f t="shared" si="0"/>
        <v>0</v>
      </c>
      <c r="L16" s="424">
        <f t="shared" si="1"/>
        <v>0</v>
      </c>
      <c r="M16" s="284"/>
      <c r="N16" s="284"/>
      <c r="O16" s="432"/>
      <c r="Q16" s="284"/>
      <c r="R16" s="284"/>
      <c r="S16" s="237"/>
    </row>
    <row r="17" spans="1:19" ht="15.6" x14ac:dyDescent="0.3">
      <c r="A17" s="233"/>
      <c r="B17" s="284"/>
      <c r="C17" s="419" t="s">
        <v>211</v>
      </c>
      <c r="D17" s="427"/>
      <c r="E17" s="428">
        <f t="shared" ref="E17:L17" si="2">SUM(E9:E16)</f>
        <v>0</v>
      </c>
      <c r="F17" s="429">
        <f t="shared" si="2"/>
        <v>0</v>
      </c>
      <c r="G17" s="429">
        <f t="shared" si="2"/>
        <v>0</v>
      </c>
      <c r="H17" s="429">
        <f t="shared" si="2"/>
        <v>0</v>
      </c>
      <c r="I17" s="428">
        <f t="shared" si="2"/>
        <v>0</v>
      </c>
      <c r="J17" s="428">
        <f t="shared" si="2"/>
        <v>0</v>
      </c>
      <c r="K17" s="428">
        <f t="shared" si="2"/>
        <v>0</v>
      </c>
      <c r="L17" s="428">
        <f t="shared" si="2"/>
        <v>0</v>
      </c>
      <c r="M17" s="284"/>
      <c r="N17" s="284"/>
      <c r="O17" s="294"/>
      <c r="P17" s="284"/>
      <c r="Q17" s="284"/>
      <c r="R17" s="284"/>
      <c r="S17" s="237"/>
    </row>
    <row r="18" spans="1:19" x14ac:dyDescent="0.25">
      <c r="D18" s="284"/>
      <c r="O18" s="319"/>
    </row>
    <row r="21" spans="1:19" x14ac:dyDescent="0.25">
      <c r="B21" s="180" t="s">
        <v>467</v>
      </c>
      <c r="C21" s="284"/>
      <c r="D21" s="284"/>
      <c r="E21" s="284"/>
      <c r="F21" s="284"/>
      <c r="G21" s="284"/>
      <c r="H21" s="284"/>
      <c r="I21" s="284"/>
      <c r="J21" s="284"/>
      <c r="K21" s="284"/>
      <c r="L21" s="284"/>
    </row>
    <row r="22" spans="1:19" x14ac:dyDescent="0.25">
      <c r="B22" s="291"/>
      <c r="C22" s="284"/>
      <c r="D22" s="284"/>
      <c r="E22" s="284"/>
      <c r="F22" s="284"/>
      <c r="G22" s="284"/>
      <c r="H22" s="284"/>
      <c r="I22" s="284"/>
      <c r="J22" s="284"/>
      <c r="K22" s="284"/>
      <c r="L22" s="284"/>
    </row>
    <row r="23" spans="1:19" ht="28.5" customHeight="1" x14ac:dyDescent="0.25">
      <c r="B23" s="284"/>
      <c r="C23" s="749" t="s">
        <v>248</v>
      </c>
      <c r="D23" s="749" t="s">
        <v>488</v>
      </c>
      <c r="E23" s="749" t="s">
        <v>249</v>
      </c>
      <c r="F23" s="749" t="s">
        <v>250</v>
      </c>
      <c r="G23" s="746" t="s">
        <v>251</v>
      </c>
      <c r="H23" s="747"/>
      <c r="I23" s="748"/>
      <c r="J23" s="746" t="str">
        <f>"Net Contribution ($"&amp;Water!N8&amp; ")"</f>
        <v>Net Contribution ($Jun '09)</v>
      </c>
      <c r="K23" s="747"/>
      <c r="L23" s="747"/>
      <c r="M23" s="748"/>
      <c r="N23" s="746" t="str">
        <f>"Waiver ($"&amp;Water!N8&amp; ")"</f>
        <v>Waiver ($Jun '09)</v>
      </c>
      <c r="O23" s="747"/>
      <c r="P23" s="747"/>
      <c r="Q23" s="748"/>
    </row>
    <row r="24" spans="1:19" ht="39.6" x14ac:dyDescent="0.25">
      <c r="B24" s="284"/>
      <c r="C24" s="750"/>
      <c r="D24" s="750"/>
      <c r="E24" s="750"/>
      <c r="F24" s="750"/>
      <c r="G24" s="435" t="s">
        <v>481</v>
      </c>
      <c r="H24" s="435" t="s">
        <v>482</v>
      </c>
      <c r="I24" s="435" t="s">
        <v>483</v>
      </c>
      <c r="J24" s="435" t="s">
        <v>254</v>
      </c>
      <c r="K24" s="435" t="str">
        <f t="shared" ref="K24:Q24" si="3">+G24</f>
        <v>Reservoirs</v>
      </c>
      <c r="L24" s="435" t="str">
        <f t="shared" si="3"/>
        <v>Delivery mains</v>
      </c>
      <c r="M24" s="435" t="str">
        <f t="shared" si="3"/>
        <v>Distribution mains &amp; other works</v>
      </c>
      <c r="N24" s="435" t="str">
        <f t="shared" si="3"/>
        <v>Source Works</v>
      </c>
      <c r="O24" s="435" t="str">
        <f t="shared" si="3"/>
        <v>Reservoirs</v>
      </c>
      <c r="P24" s="435" t="str">
        <f t="shared" si="3"/>
        <v>Delivery mains</v>
      </c>
      <c r="Q24" s="422" t="str">
        <f t="shared" si="3"/>
        <v>Distribution mains &amp; other works</v>
      </c>
    </row>
    <row r="25" spans="1:19" ht="15" customHeight="1" x14ac:dyDescent="0.25">
      <c r="B25" s="284"/>
      <c r="C25" s="425" t="str">
        <f>+Water!B90</f>
        <v>Traditional Residential (lots &lt;200m²)</v>
      </c>
      <c r="D25" s="194">
        <v>29</v>
      </c>
      <c r="E25" s="434">
        <f>+SUMIF(Water!$V$16:$V$20,C25,Water!$W$16:$W$20)</f>
        <v>0</v>
      </c>
      <c r="F25" s="426">
        <f>+E25*Water!$F$90</f>
        <v>0</v>
      </c>
      <c r="G25" s="426">
        <f>+IF($E$37=0,0,Water!$K$30/'Waiver 4'!$F$37*'Waiver 4'!F25)</f>
        <v>0</v>
      </c>
      <c r="H25" s="426">
        <f>+IF($E$37=0,0,Water!$K$38/'Waiver 4'!$F$37*'Waiver 4'!F25)</f>
        <v>0</v>
      </c>
      <c r="I25" s="426">
        <f>+IF($E$37=0,0,Water!$K$46/'Waiver 4'!$F$37*'Waiver 4'!F25)</f>
        <v>0</v>
      </c>
      <c r="J25" s="434">
        <f>$F25*Water!$M$8</f>
        <v>0</v>
      </c>
      <c r="K25" s="434">
        <f>MAX(0,($F25-$G25)*Water!$M$9)</f>
        <v>0</v>
      </c>
      <c r="L25" s="434">
        <f>MAX(0,($F25-$H25)*Water!$M$10)</f>
        <v>0</v>
      </c>
      <c r="M25" s="434">
        <f>MAX(0,($F25-$I25)*Water!$M$11)</f>
        <v>0</v>
      </c>
      <c r="N25" s="434">
        <f>+$D25*J25/100</f>
        <v>0</v>
      </c>
      <c r="O25" s="434">
        <f>+$D25*K25/100</f>
        <v>0</v>
      </c>
      <c r="P25" s="434">
        <f>+$D25*L25/100</f>
        <v>0</v>
      </c>
      <c r="Q25" s="434">
        <f>+$D25*M25/100</f>
        <v>0</v>
      </c>
    </row>
    <row r="26" spans="1:19" ht="15" customHeight="1" x14ac:dyDescent="0.25">
      <c r="B26" s="284"/>
      <c r="C26" s="425" t="str">
        <f>+Water!B91</f>
        <v>Traditional Residential (lots 200m² to 299m²)</v>
      </c>
      <c r="D26" s="194">
        <v>14</v>
      </c>
      <c r="E26" s="434">
        <f>+SUMIF(Water!$V$16:$V$20,C26,Water!$W$16:$W$20)</f>
        <v>0</v>
      </c>
      <c r="F26" s="426">
        <f>+E26*Water!$F$90</f>
        <v>0</v>
      </c>
      <c r="G26" s="426">
        <f>+IF($E$37=0,0,Water!$K$30/'Waiver 4'!$F$37*'Waiver 4'!F26)</f>
        <v>0</v>
      </c>
      <c r="H26" s="426">
        <f>+IF($E$37=0,0,Water!$K$38/'Waiver 4'!$F$37*'Waiver 4'!F26)</f>
        <v>0</v>
      </c>
      <c r="I26" s="426">
        <f>+IF($E$37=0,0,Water!$K$46/'Waiver 4'!$F$37*'Waiver 4'!F26)</f>
        <v>0</v>
      </c>
      <c r="J26" s="434">
        <f>$F26*Water!$M$8</f>
        <v>0</v>
      </c>
      <c r="K26" s="434">
        <f>MAX(0,($F26-$G26)*Water!$M$9)</f>
        <v>0</v>
      </c>
      <c r="L26" s="434">
        <f>MAX(0,($F26-$H26)*Water!$M$10)</f>
        <v>0</v>
      </c>
      <c r="M26" s="434">
        <f>MAX(0,($F26-$I26)*Water!$M$11)</f>
        <v>0</v>
      </c>
      <c r="N26" s="434">
        <f t="shared" ref="N26:N36" si="4">+$D26*J26/100</f>
        <v>0</v>
      </c>
      <c r="O26" s="434">
        <f t="shared" ref="O26:O36" si="5">+$D26*K26/100</f>
        <v>0</v>
      </c>
      <c r="P26" s="434">
        <f t="shared" ref="P26:P36" si="6">+$D26*L26/100</f>
        <v>0</v>
      </c>
      <c r="Q26" s="434">
        <f t="shared" ref="Q26:Q36" si="7">+$D26*M26/100</f>
        <v>0</v>
      </c>
    </row>
    <row r="27" spans="1:19" ht="15" customHeight="1" x14ac:dyDescent="0.25">
      <c r="B27" s="284"/>
      <c r="C27" s="425" t="str">
        <f>+Water!B92</f>
        <v>Traditional Residential (lots 300m² to 399m²)</v>
      </c>
      <c r="D27" s="194">
        <v>7</v>
      </c>
      <c r="E27" s="434">
        <f>+SUMIF(Water!$V$16:$V$20,C27,Water!$W$16:$W$20)</f>
        <v>0</v>
      </c>
      <c r="F27" s="426">
        <f>+E27*Water!$F$90</f>
        <v>0</v>
      </c>
      <c r="G27" s="426">
        <f>+IF($E$37=0,0,Water!$K$30/'Waiver 4'!$F$37*'Waiver 4'!F27)</f>
        <v>0</v>
      </c>
      <c r="H27" s="426">
        <f>+IF($E$37=0,0,Water!$K$38/'Waiver 4'!$F$37*'Waiver 4'!F27)</f>
        <v>0</v>
      </c>
      <c r="I27" s="426">
        <f>+IF($E$37=0,0,Water!$K$46/'Waiver 4'!$F$37*'Waiver 4'!F27)</f>
        <v>0</v>
      </c>
      <c r="J27" s="434">
        <f>$F27*Water!$M$8</f>
        <v>0</v>
      </c>
      <c r="K27" s="434">
        <f>MAX(0,($F27-$G27)*Water!$M$9)</f>
        <v>0</v>
      </c>
      <c r="L27" s="434">
        <f>MAX(0,($F27-$H27)*Water!$M$10)</f>
        <v>0</v>
      </c>
      <c r="M27" s="434">
        <f>MAX(0,($F27-$I27)*Water!$M$11)</f>
        <v>0</v>
      </c>
      <c r="N27" s="434">
        <f t="shared" si="4"/>
        <v>0</v>
      </c>
      <c r="O27" s="434">
        <f t="shared" si="5"/>
        <v>0</v>
      </c>
      <c r="P27" s="434">
        <f t="shared" si="6"/>
        <v>0</v>
      </c>
      <c r="Q27" s="434">
        <f t="shared" si="7"/>
        <v>0</v>
      </c>
    </row>
    <row r="28" spans="1:19" ht="15" customHeight="1" x14ac:dyDescent="0.25">
      <c r="B28" s="284"/>
      <c r="C28" s="425" t="str">
        <f>+Water!B93</f>
        <v>Traditional Residential (lots 400m² or larger)</v>
      </c>
      <c r="D28" s="194">
        <v>0</v>
      </c>
      <c r="E28" s="434">
        <f>+SUMIF(Water!$V$16:$V$20,C28,Water!$W$16:$W$20)</f>
        <v>0</v>
      </c>
      <c r="F28" s="426">
        <f>+E28*Water!$F$90</f>
        <v>0</v>
      </c>
      <c r="G28" s="426">
        <f>+IF($E$37=0,0,Water!$K$30/'Waiver 4'!$F$37*'Waiver 4'!F28)</f>
        <v>0</v>
      </c>
      <c r="H28" s="426">
        <f>+IF($E$37=0,0,Water!$K$38/'Waiver 4'!$F$37*'Waiver 4'!F28)</f>
        <v>0</v>
      </c>
      <c r="I28" s="426">
        <f>+IF($E$37=0,0,Water!$K$46/'Waiver 4'!$F$37*'Waiver 4'!F28)</f>
        <v>0</v>
      </c>
      <c r="J28" s="434">
        <f>$F28*Water!$M$8</f>
        <v>0</v>
      </c>
      <c r="K28" s="434">
        <f>MAX(0,($F28-$G28)*Water!$M$9)</f>
        <v>0</v>
      </c>
      <c r="L28" s="434">
        <f>MAX(0,($F28-$H28)*Water!$M$10)</f>
        <v>0</v>
      </c>
      <c r="M28" s="434">
        <f>MAX(0,($F28-$I28)*Water!$M$11)</f>
        <v>0</v>
      </c>
      <c r="N28" s="434">
        <f t="shared" si="4"/>
        <v>0</v>
      </c>
      <c r="O28" s="434">
        <f t="shared" si="5"/>
        <v>0</v>
      </c>
      <c r="P28" s="434">
        <f t="shared" si="6"/>
        <v>0</v>
      </c>
      <c r="Q28" s="434">
        <f t="shared" si="7"/>
        <v>0</v>
      </c>
    </row>
    <row r="29" spans="1:19" ht="15" customHeight="1" x14ac:dyDescent="0.25">
      <c r="B29" s="284"/>
      <c r="C29" s="425" t="str">
        <f>+Water!B94</f>
        <v>Mixed Residential (lots &lt;200m²)</v>
      </c>
      <c r="D29" s="194">
        <v>29</v>
      </c>
      <c r="E29" s="434">
        <f>+SUMIF(Water!$V$16:$V$20,C29,Water!$W$16:$W$20)</f>
        <v>0</v>
      </c>
      <c r="F29" s="426">
        <f>+E29*Water!$F$90</f>
        <v>0</v>
      </c>
      <c r="G29" s="426">
        <f>+IF($E$37=0,0,Water!$K$30/'Waiver 4'!$F$37*'Waiver 4'!F29)</f>
        <v>0</v>
      </c>
      <c r="H29" s="426">
        <f>+IF($E$37=0,0,Water!$K$38/'Waiver 4'!$F$37*'Waiver 4'!F29)</f>
        <v>0</v>
      </c>
      <c r="I29" s="426">
        <f>+IF($E$37=0,0,Water!$K$46/'Waiver 4'!$F$37*'Waiver 4'!F29)</f>
        <v>0</v>
      </c>
      <c r="J29" s="434">
        <f>$F29*Water!$M$8</f>
        <v>0</v>
      </c>
      <c r="K29" s="434">
        <f>MAX(0,($F29-$G29)*Water!$M$9)</f>
        <v>0</v>
      </c>
      <c r="L29" s="434">
        <f>MAX(0,($F29-$H29)*Water!$M$10)</f>
        <v>0</v>
      </c>
      <c r="M29" s="434">
        <f>MAX(0,($F29-$I29)*Water!$M$11)</f>
        <v>0</v>
      </c>
      <c r="N29" s="434">
        <f t="shared" si="4"/>
        <v>0</v>
      </c>
      <c r="O29" s="434">
        <f t="shared" si="5"/>
        <v>0</v>
      </c>
      <c r="P29" s="434">
        <f t="shared" si="6"/>
        <v>0</v>
      </c>
      <c r="Q29" s="434">
        <f t="shared" si="7"/>
        <v>0</v>
      </c>
    </row>
    <row r="30" spans="1:19" ht="15" customHeight="1" x14ac:dyDescent="0.25">
      <c r="B30" s="284"/>
      <c r="C30" s="425" t="str">
        <f>+Water!B95</f>
        <v>Mixed Residential (lots 200m² to 299m²)</v>
      </c>
      <c r="D30" s="194">
        <v>14</v>
      </c>
      <c r="E30" s="434">
        <f>+SUMIF(Water!$V$16:$V$20,C30,Water!$W$16:$W$20)</f>
        <v>0</v>
      </c>
      <c r="F30" s="426">
        <f>+E30*Water!$F$90</f>
        <v>0</v>
      </c>
      <c r="G30" s="426">
        <f>+IF($E$37=0,0,Water!$K$30/'Waiver 4'!$F$37*'Waiver 4'!F30)</f>
        <v>0</v>
      </c>
      <c r="H30" s="426">
        <f>+IF($E$37=0,0,Water!$K$38/'Waiver 4'!$F$37*'Waiver 4'!F30)</f>
        <v>0</v>
      </c>
      <c r="I30" s="426">
        <f>+IF($E$37=0,0,Water!$K$46/'Waiver 4'!$F$37*'Waiver 4'!F30)</f>
        <v>0</v>
      </c>
      <c r="J30" s="434">
        <f>$F30*Water!$M$8</f>
        <v>0</v>
      </c>
      <c r="K30" s="434">
        <f>MAX(0,($F30-$G30)*Water!$M$9)</f>
        <v>0</v>
      </c>
      <c r="L30" s="434">
        <f>MAX(0,($F30-$H30)*Water!$M$10)</f>
        <v>0</v>
      </c>
      <c r="M30" s="434">
        <f>MAX(0,($F30-$I30)*Water!$M$11)</f>
        <v>0</v>
      </c>
      <c r="N30" s="434">
        <f t="shared" si="4"/>
        <v>0</v>
      </c>
      <c r="O30" s="434">
        <f t="shared" si="5"/>
        <v>0</v>
      </c>
      <c r="P30" s="434">
        <f t="shared" si="6"/>
        <v>0</v>
      </c>
      <c r="Q30" s="434">
        <f t="shared" si="7"/>
        <v>0</v>
      </c>
    </row>
    <row r="31" spans="1:19" ht="15" customHeight="1" x14ac:dyDescent="0.25">
      <c r="B31" s="284"/>
      <c r="C31" s="425" t="str">
        <f>+Water!B96</f>
        <v>Mixed Residential (lots 300m² to 399m²)</v>
      </c>
      <c r="D31" s="194">
        <v>7</v>
      </c>
      <c r="E31" s="434">
        <f>+SUMIF(Water!$V$16:$V$20,C31,Water!$W$16:$W$20)</f>
        <v>0</v>
      </c>
      <c r="F31" s="426">
        <f>+E31*Water!$F$90</f>
        <v>0</v>
      </c>
      <c r="G31" s="426">
        <f>+IF($E$37=0,0,Water!$K$30/'Waiver 4'!$F$37*'Waiver 4'!F31)</f>
        <v>0</v>
      </c>
      <c r="H31" s="426">
        <f>+IF($E$37=0,0,Water!$K$38/'Waiver 4'!$F$37*'Waiver 4'!F31)</f>
        <v>0</v>
      </c>
      <c r="I31" s="426">
        <f>+IF($E$37=0,0,Water!$K$46/'Waiver 4'!$F$37*'Waiver 4'!F31)</f>
        <v>0</v>
      </c>
      <c r="J31" s="434">
        <f>$F31*Water!$M$8</f>
        <v>0</v>
      </c>
      <c r="K31" s="434">
        <f>MAX(0,($F31-$G31)*Water!$M$9)</f>
        <v>0</v>
      </c>
      <c r="L31" s="434">
        <f>MAX(0,($F31-$H31)*Water!$M$10)</f>
        <v>0</v>
      </c>
      <c r="M31" s="434">
        <f>MAX(0,($F31-$I31)*Water!$M$11)</f>
        <v>0</v>
      </c>
      <c r="N31" s="434">
        <f t="shared" si="4"/>
        <v>0</v>
      </c>
      <c r="O31" s="434">
        <f t="shared" si="5"/>
        <v>0</v>
      </c>
      <c r="P31" s="434">
        <f t="shared" si="6"/>
        <v>0</v>
      </c>
      <c r="Q31" s="434">
        <f t="shared" si="7"/>
        <v>0</v>
      </c>
    </row>
    <row r="32" spans="1:19" ht="15" customHeight="1" x14ac:dyDescent="0.25">
      <c r="B32" s="284"/>
      <c r="C32" s="425" t="str">
        <f>+Water!B97</f>
        <v>Mixed Residential (lots 400m² or larger)</v>
      </c>
      <c r="D32" s="194">
        <v>0</v>
      </c>
      <c r="E32" s="434">
        <f>+SUMIF(Water!$V$16:$V$20,C32,Water!$W$16:$W$20)</f>
        <v>0</v>
      </c>
      <c r="F32" s="426">
        <f>+E32*Water!$F$90</f>
        <v>0</v>
      </c>
      <c r="G32" s="426">
        <f>+IF($E$37=0,0,Water!$K$30/'Waiver 4'!$F$37*'Waiver 4'!F32)</f>
        <v>0</v>
      </c>
      <c r="H32" s="426">
        <f>+IF($E$37=0,0,Water!$K$38/'Waiver 4'!$F$37*'Waiver 4'!F32)</f>
        <v>0</v>
      </c>
      <c r="I32" s="426">
        <f>+IF($E$37=0,0,Water!$K$46/'Waiver 4'!$F$37*'Waiver 4'!F32)</f>
        <v>0</v>
      </c>
      <c r="J32" s="434">
        <f>$F32*Water!$M$8</f>
        <v>0</v>
      </c>
      <c r="K32" s="434">
        <f>MAX(0,($F32-$G32)*Water!$M$9)</f>
        <v>0</v>
      </c>
      <c r="L32" s="434">
        <f>MAX(0,($F32-$H32)*Water!$M$10)</f>
        <v>0</v>
      </c>
      <c r="M32" s="434">
        <f>MAX(0,($F32-$I32)*Water!$M$11)</f>
        <v>0</v>
      </c>
      <c r="N32" s="434">
        <f t="shared" si="4"/>
        <v>0</v>
      </c>
      <c r="O32" s="434">
        <f t="shared" si="5"/>
        <v>0</v>
      </c>
      <c r="P32" s="434">
        <f t="shared" si="6"/>
        <v>0</v>
      </c>
      <c r="Q32" s="434">
        <f t="shared" si="7"/>
        <v>0</v>
      </c>
    </row>
    <row r="33" spans="2:17" ht="15" customHeight="1" x14ac:dyDescent="0.25">
      <c r="B33" s="284"/>
      <c r="C33" s="425" t="str">
        <f>+Water!B98</f>
        <v>Park Residential (lots &lt;200m²)</v>
      </c>
      <c r="D33" s="194">
        <v>29</v>
      </c>
      <c r="E33" s="434">
        <f>+SUMIF(Water!$V$16:$V$20,C33,Water!$W$16:$W$20)</f>
        <v>0</v>
      </c>
      <c r="F33" s="426">
        <f>+E33*Water!$F$90</f>
        <v>0</v>
      </c>
      <c r="G33" s="426">
        <f>+IF($E$37=0,0,Water!$K$30/'Waiver 4'!$F$37*'Waiver 4'!F33)</f>
        <v>0</v>
      </c>
      <c r="H33" s="426">
        <f>+IF($E$37=0,0,Water!$K$38/'Waiver 4'!$F$37*'Waiver 4'!F33)</f>
        <v>0</v>
      </c>
      <c r="I33" s="426">
        <f>+IF($E$37=0,0,Water!$K$46/'Waiver 4'!$F$37*'Waiver 4'!F33)</f>
        <v>0</v>
      </c>
      <c r="J33" s="434">
        <f>$F33*Water!$M$8</f>
        <v>0</v>
      </c>
      <c r="K33" s="434">
        <f>MAX(0,($F33-$G33)*Water!$M$9)</f>
        <v>0</v>
      </c>
      <c r="L33" s="434">
        <f>MAX(0,($F33-$H33)*Water!$M$10)</f>
        <v>0</v>
      </c>
      <c r="M33" s="434">
        <f>MAX(0,($F33-$I33)*Water!$M$11)</f>
        <v>0</v>
      </c>
      <c r="N33" s="434">
        <f t="shared" si="4"/>
        <v>0</v>
      </c>
      <c r="O33" s="434">
        <f t="shared" si="5"/>
        <v>0</v>
      </c>
      <c r="P33" s="434">
        <f t="shared" si="6"/>
        <v>0</v>
      </c>
      <c r="Q33" s="434">
        <f t="shared" si="7"/>
        <v>0</v>
      </c>
    </row>
    <row r="34" spans="2:17" ht="15" customHeight="1" x14ac:dyDescent="0.25">
      <c r="B34" s="284"/>
      <c r="C34" s="425" t="str">
        <f>+Water!B99</f>
        <v>Park Residential (lots 200m² to 299m²)</v>
      </c>
      <c r="D34" s="194">
        <v>14</v>
      </c>
      <c r="E34" s="434">
        <f>+SUMIF(Water!$V$16:$V$20,C34,Water!$W$16:$W$20)</f>
        <v>0</v>
      </c>
      <c r="F34" s="426">
        <f>+E34*Water!$F$90</f>
        <v>0</v>
      </c>
      <c r="G34" s="426">
        <f>+IF($E$37=0,0,Water!$K$30/'Waiver 4'!$F$37*'Waiver 4'!F34)</f>
        <v>0</v>
      </c>
      <c r="H34" s="426">
        <f>+IF($E$37=0,0,Water!$K$38/'Waiver 4'!$F$37*'Waiver 4'!F34)</f>
        <v>0</v>
      </c>
      <c r="I34" s="426">
        <f>+IF($E$37=0,0,Water!$K$46/'Waiver 4'!$F$37*'Waiver 4'!F34)</f>
        <v>0</v>
      </c>
      <c r="J34" s="434">
        <f>$F34*Water!$M$8</f>
        <v>0</v>
      </c>
      <c r="K34" s="434">
        <f>MAX(0,($F34-$G34)*Water!$M$9)</f>
        <v>0</v>
      </c>
      <c r="L34" s="434">
        <f>MAX(0,($F34-$H34)*Water!$M$10)</f>
        <v>0</v>
      </c>
      <c r="M34" s="434">
        <f>MAX(0,($F34-$I34)*Water!$M$11)</f>
        <v>0</v>
      </c>
      <c r="N34" s="434">
        <f t="shared" si="4"/>
        <v>0</v>
      </c>
      <c r="O34" s="434">
        <f t="shared" si="5"/>
        <v>0</v>
      </c>
      <c r="P34" s="434">
        <f t="shared" si="6"/>
        <v>0</v>
      </c>
      <c r="Q34" s="434">
        <f t="shared" si="7"/>
        <v>0</v>
      </c>
    </row>
    <row r="35" spans="2:17" ht="15" customHeight="1" x14ac:dyDescent="0.25">
      <c r="B35" s="284"/>
      <c r="C35" s="425" t="str">
        <f>+Water!B100</f>
        <v>Park Residential (lots 300m² to 399m²)</v>
      </c>
      <c r="D35" s="194">
        <v>7</v>
      </c>
      <c r="E35" s="434">
        <f>+SUMIF(Water!$V$16:$V$20,C35,Water!$W$16:$W$20)</f>
        <v>0</v>
      </c>
      <c r="F35" s="426">
        <f>+E35*Water!$F$90</f>
        <v>0</v>
      </c>
      <c r="G35" s="426">
        <f>+IF($E$37=0,0,Water!$K$30/'Waiver 4'!$F$37*'Waiver 4'!F35)</f>
        <v>0</v>
      </c>
      <c r="H35" s="426">
        <f>+IF($E$37=0,0,Water!$K$38/'Waiver 4'!$F$37*'Waiver 4'!F35)</f>
        <v>0</v>
      </c>
      <c r="I35" s="426">
        <f>+IF($E$37=0,0,Water!$K$46/'Waiver 4'!$F$37*'Waiver 4'!F35)</f>
        <v>0</v>
      </c>
      <c r="J35" s="434">
        <f>$F35*Water!$M$8</f>
        <v>0</v>
      </c>
      <c r="K35" s="434">
        <f>MAX(0,($F35-$G35)*Water!$M$9)</f>
        <v>0</v>
      </c>
      <c r="L35" s="434">
        <f>MAX(0,($F35-$H35)*Water!$M$10)</f>
        <v>0</v>
      </c>
      <c r="M35" s="434">
        <f>MAX(0,($F35-$I35)*Water!$M$11)</f>
        <v>0</v>
      </c>
      <c r="N35" s="434">
        <f t="shared" si="4"/>
        <v>0</v>
      </c>
      <c r="O35" s="434">
        <f t="shared" si="5"/>
        <v>0</v>
      </c>
      <c r="P35" s="434">
        <f t="shared" si="6"/>
        <v>0</v>
      </c>
      <c r="Q35" s="434">
        <f t="shared" si="7"/>
        <v>0</v>
      </c>
    </row>
    <row r="36" spans="2:17" ht="15" customHeight="1" x14ac:dyDescent="0.25">
      <c r="B36" s="284"/>
      <c r="C36" s="425" t="str">
        <f>+Water!B101</f>
        <v>Park Residential (lots 400m² or larger)</v>
      </c>
      <c r="D36" s="194">
        <v>0</v>
      </c>
      <c r="E36" s="434">
        <f>+SUMIF(Water!$V$16:$V$20,C36,Water!$W$16:$W$20)</f>
        <v>0</v>
      </c>
      <c r="F36" s="426">
        <f>+E36*Water!$F$90</f>
        <v>0</v>
      </c>
      <c r="G36" s="426">
        <f>+IF($E$37=0,0,Water!$K$30/'Waiver 4'!$F$37*'Waiver 4'!F36)</f>
        <v>0</v>
      </c>
      <c r="H36" s="426">
        <f>+IF($E$37=0,0,Water!$K$38/'Waiver 4'!$F$37*'Waiver 4'!F36)</f>
        <v>0</v>
      </c>
      <c r="I36" s="426">
        <f>+IF($E$37=0,0,Water!$K$46/'Waiver 4'!$F$37*'Waiver 4'!F36)</f>
        <v>0</v>
      </c>
      <c r="J36" s="434">
        <f>$F36*Water!$M$8</f>
        <v>0</v>
      </c>
      <c r="K36" s="434">
        <f>MAX(0,($F36-$G36)*Water!$M$9)</f>
        <v>0</v>
      </c>
      <c r="L36" s="434">
        <f>MAX(0,($F36-$H36)*Water!$M$10)</f>
        <v>0</v>
      </c>
      <c r="M36" s="434">
        <f>MAX(0,($F36-$I36)*Water!$M$11)</f>
        <v>0</v>
      </c>
      <c r="N36" s="434">
        <f t="shared" si="4"/>
        <v>0</v>
      </c>
      <c r="O36" s="434">
        <f t="shared" si="5"/>
        <v>0</v>
      </c>
      <c r="P36" s="434">
        <f t="shared" si="6"/>
        <v>0</v>
      </c>
      <c r="Q36" s="434">
        <f t="shared" si="7"/>
        <v>0</v>
      </c>
    </row>
    <row r="37" spans="2:17" ht="15" customHeight="1" x14ac:dyDescent="0.25">
      <c r="B37" s="284"/>
      <c r="C37" s="419" t="s">
        <v>211</v>
      </c>
      <c r="D37" s="427"/>
      <c r="E37" s="428">
        <f t="shared" ref="E37:J37" si="8">SUM(E25:E36)</f>
        <v>0</v>
      </c>
      <c r="F37" s="429">
        <f t="shared" si="8"/>
        <v>0</v>
      </c>
      <c r="G37" s="429">
        <f t="shared" si="8"/>
        <v>0</v>
      </c>
      <c r="H37" s="429">
        <f t="shared" si="8"/>
        <v>0</v>
      </c>
      <c r="I37" s="429">
        <f t="shared" si="8"/>
        <v>0</v>
      </c>
      <c r="J37" s="429">
        <f t="shared" si="8"/>
        <v>0</v>
      </c>
      <c r="K37" s="428">
        <f t="shared" ref="K37:Q37" si="9">SUM(K25:K36)</f>
        <v>0</v>
      </c>
      <c r="L37" s="428">
        <f t="shared" si="9"/>
        <v>0</v>
      </c>
      <c r="M37" s="428">
        <f t="shared" si="9"/>
        <v>0</v>
      </c>
      <c r="N37" s="428">
        <f t="shared" si="9"/>
        <v>0</v>
      </c>
      <c r="O37" s="428">
        <f t="shared" si="9"/>
        <v>0</v>
      </c>
      <c r="P37" s="428">
        <f t="shared" si="9"/>
        <v>0</v>
      </c>
      <c r="Q37" s="428">
        <f t="shared" si="9"/>
        <v>0</v>
      </c>
    </row>
    <row r="38" spans="2:17" ht="15" customHeight="1" x14ac:dyDescent="0.25"/>
  </sheetData>
  <sheetProtection password="CDF4" sheet="1" objects="1" scenarios="1"/>
  <mergeCells count="14">
    <mergeCell ref="N23:Q23"/>
    <mergeCell ref="D7:D8"/>
    <mergeCell ref="I7:J7"/>
    <mergeCell ref="J23:M23"/>
    <mergeCell ref="C7:C8"/>
    <mergeCell ref="K7:L7"/>
    <mergeCell ref="C23:C24"/>
    <mergeCell ref="D23:D24"/>
    <mergeCell ref="E23:E24"/>
    <mergeCell ref="F23:F24"/>
    <mergeCell ref="G23:I23"/>
    <mergeCell ref="G7:H7"/>
    <mergeCell ref="F7:F8"/>
    <mergeCell ref="E7:E8"/>
  </mergeCells>
  <phoneticPr fontId="4" type="noConversion"/>
  <pageMargins left="0.75" right="0.75" top="1" bottom="1" header="0.5" footer="0.5"/>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Z318"/>
  <sheetViews>
    <sheetView zoomScale="75" workbookViewId="0"/>
  </sheetViews>
  <sheetFormatPr defaultColWidth="9.109375" defaultRowHeight="13.2" x14ac:dyDescent="0.25"/>
  <cols>
    <col min="1" max="1" width="4.33203125" style="132" customWidth="1"/>
    <col min="2" max="2" width="12.6640625" style="132" customWidth="1"/>
    <col min="3" max="3" width="12.5546875" style="132" customWidth="1"/>
    <col min="4" max="4" width="12.6640625" style="132" customWidth="1"/>
    <col min="5" max="5" width="13" style="132" customWidth="1"/>
    <col min="6" max="6" width="13.44140625" style="132" customWidth="1"/>
    <col min="7" max="7" width="13.88671875" style="132" customWidth="1"/>
    <col min="8" max="8" width="11.6640625" style="132" customWidth="1"/>
    <col min="9" max="9" width="12.88671875" style="132" customWidth="1"/>
    <col min="10" max="10" width="11.5546875" style="132" customWidth="1"/>
    <col min="11" max="12" width="12.88671875" style="132" customWidth="1"/>
    <col min="13" max="13" width="12.6640625" style="132" customWidth="1"/>
    <col min="14" max="14" width="11.6640625" style="132" customWidth="1"/>
    <col min="15" max="15" width="12" style="132" customWidth="1"/>
    <col min="16" max="16" width="11.109375" style="132" customWidth="1"/>
    <col min="17" max="17" width="10.33203125" style="132" customWidth="1"/>
    <col min="18" max="18" width="9.44140625" style="132" customWidth="1"/>
    <col min="19" max="20" width="10.33203125" style="132" customWidth="1"/>
    <col min="21" max="21" width="11.109375" style="132" customWidth="1"/>
    <col min="22" max="25" width="9.109375" style="132"/>
    <col min="26" max="26" width="0" style="132" hidden="1" customWidth="1"/>
    <col min="27" max="16384" width="9.109375" style="132"/>
  </cols>
  <sheetData>
    <row r="1" spans="1:26" ht="15.75" customHeight="1" x14ac:dyDescent="0.25">
      <c r="A1" s="430" t="s">
        <v>434</v>
      </c>
      <c r="B1" s="431"/>
      <c r="C1" s="431"/>
      <c r="D1" s="431"/>
      <c r="E1" s="431"/>
      <c r="F1" s="431"/>
      <c r="G1" s="431"/>
      <c r="H1" s="431"/>
      <c r="I1" s="431"/>
      <c r="J1" s="431"/>
      <c r="K1" s="431"/>
      <c r="L1" s="431"/>
      <c r="M1" s="135"/>
      <c r="N1" s="431"/>
      <c r="Q1" s="135"/>
      <c r="R1" s="135"/>
      <c r="S1" s="135"/>
      <c r="T1" s="135"/>
      <c r="U1" s="135"/>
      <c r="V1" s="135"/>
      <c r="W1" s="135"/>
      <c r="X1" s="135"/>
    </row>
    <row r="2" spans="1:26" ht="15.75" customHeight="1" x14ac:dyDescent="0.25">
      <c r="A2" s="292"/>
      <c r="B2" s="292"/>
      <c r="C2" s="292"/>
      <c r="D2" s="292"/>
      <c r="E2" s="292"/>
      <c r="F2" s="292"/>
      <c r="G2" s="292"/>
      <c r="H2" s="292"/>
      <c r="I2" s="292"/>
      <c r="J2" s="292"/>
      <c r="K2" s="292"/>
      <c r="L2" s="292"/>
      <c r="M2" s="489"/>
      <c r="N2" s="292"/>
      <c r="P2" s="135"/>
      <c r="Q2" s="135"/>
      <c r="R2" s="135"/>
      <c r="S2" s="135"/>
      <c r="T2" s="135"/>
      <c r="U2" s="135"/>
      <c r="V2" s="135"/>
      <c r="W2" s="135"/>
      <c r="X2" s="135"/>
    </row>
    <row r="3" spans="1:26" ht="15.75" customHeight="1" x14ac:dyDescent="0.25">
      <c r="A3" s="180"/>
      <c r="B3" s="285"/>
      <c r="C3" s="285"/>
      <c r="D3" s="285"/>
      <c r="E3" s="285"/>
      <c r="F3" s="285"/>
      <c r="M3" s="178"/>
      <c r="P3" s="135"/>
      <c r="Q3" s="135"/>
      <c r="R3" s="135"/>
      <c r="S3" s="135"/>
      <c r="T3" s="135"/>
      <c r="U3" s="135"/>
      <c r="V3" s="135"/>
      <c r="W3" s="135"/>
      <c r="X3" s="135"/>
    </row>
    <row r="4" spans="1:26" ht="15.75" customHeight="1" x14ac:dyDescent="0.25">
      <c r="A4" s="180"/>
      <c r="B4" s="285"/>
      <c r="C4" s="285"/>
      <c r="D4" s="285"/>
      <c r="E4" s="285"/>
      <c r="F4" s="285"/>
      <c r="M4" s="178"/>
      <c r="P4" s="135"/>
      <c r="Q4" s="135"/>
      <c r="R4" s="135"/>
      <c r="S4" s="135"/>
      <c r="T4" s="135"/>
      <c r="U4" s="135"/>
      <c r="V4" s="135"/>
      <c r="W4" s="135"/>
      <c r="X4" s="135"/>
    </row>
    <row r="5" spans="1:26" ht="15.75" customHeight="1" x14ac:dyDescent="0.25">
      <c r="G5" s="158"/>
      <c r="H5" s="158"/>
      <c r="I5" s="158"/>
      <c r="J5" s="158"/>
      <c r="K5" s="158"/>
      <c r="L5" s="158"/>
      <c r="M5" s="158"/>
    </row>
    <row r="6" spans="1:26" ht="15.75" customHeight="1" x14ac:dyDescent="0.25"/>
    <row r="7" spans="1:26" ht="36" customHeight="1" x14ac:dyDescent="0.25"/>
    <row r="8" spans="1:26" ht="15.75" customHeight="1" x14ac:dyDescent="0.25"/>
    <row r="9" spans="1:26" ht="15.75" customHeight="1" x14ac:dyDescent="0.25">
      <c r="A9" s="157" t="s">
        <v>536</v>
      </c>
      <c r="B9" s="159" t="s">
        <v>284</v>
      </c>
      <c r="C9" s="284"/>
      <c r="D9" s="284"/>
      <c r="E9" s="284"/>
      <c r="F9" s="284"/>
      <c r="G9" s="284"/>
      <c r="H9" s="284"/>
      <c r="I9" s="284"/>
      <c r="J9" s="284"/>
      <c r="K9" s="284"/>
      <c r="L9" s="284"/>
      <c r="M9" s="284"/>
      <c r="N9" s="284"/>
      <c r="O9" s="284"/>
      <c r="P9" s="284"/>
      <c r="Q9" s="284"/>
      <c r="R9" s="284"/>
      <c r="S9" s="284"/>
      <c r="T9" s="284"/>
      <c r="U9" s="284"/>
      <c r="V9" s="284"/>
      <c r="W9" s="284"/>
      <c r="X9" s="284"/>
    </row>
    <row r="10" spans="1:26" ht="15.75" customHeight="1" x14ac:dyDescent="0.25">
      <c r="Z10" s="160" t="b">
        <v>0</v>
      </c>
    </row>
    <row r="11" spans="1:26" ht="15.75" customHeight="1" x14ac:dyDescent="0.25">
      <c r="Z11" s="160" t="b">
        <v>0</v>
      </c>
    </row>
    <row r="12" spans="1:26" ht="15.75" customHeight="1" x14ac:dyDescent="0.25">
      <c r="Z12" s="160" t="b">
        <v>0</v>
      </c>
    </row>
    <row r="13" spans="1:26" ht="15.75" customHeight="1" x14ac:dyDescent="0.25">
      <c r="A13" s="240"/>
      <c r="B13" s="240"/>
      <c r="C13" s="240"/>
      <c r="D13" s="240"/>
      <c r="E13" s="240"/>
      <c r="F13" s="240"/>
      <c r="G13" s="240"/>
      <c r="H13" s="240"/>
      <c r="I13" s="240"/>
      <c r="J13" s="240"/>
      <c r="K13" s="240"/>
      <c r="Z13" s="160" t="b">
        <v>0</v>
      </c>
    </row>
    <row r="14" spans="1:26" ht="15.75" customHeight="1" x14ac:dyDescent="0.25">
      <c r="Z14" s="160" t="b">
        <v>0</v>
      </c>
    </row>
    <row r="15" spans="1:26" ht="15.75" customHeight="1" x14ac:dyDescent="0.25"/>
    <row r="16" spans="1:26" ht="15.75" customHeight="1" x14ac:dyDescent="0.25">
      <c r="A16" s="157" t="s">
        <v>529</v>
      </c>
      <c r="B16" s="159" t="s">
        <v>285</v>
      </c>
    </row>
    <row r="17" spans="1:3" ht="15.75" customHeight="1" x14ac:dyDescent="0.25">
      <c r="A17" s="157" t="s">
        <v>286</v>
      </c>
      <c r="B17" s="159" t="s">
        <v>287</v>
      </c>
    </row>
    <row r="18" spans="1:3" ht="29.25" customHeight="1" x14ac:dyDescent="0.25">
      <c r="B18" s="438" t="s">
        <v>288</v>
      </c>
      <c r="C18" s="438" t="s">
        <v>289</v>
      </c>
    </row>
    <row r="19" spans="1:3" ht="15.75" customHeight="1" x14ac:dyDescent="0.25">
      <c r="B19" s="20" t="s">
        <v>290</v>
      </c>
      <c r="C19" s="496">
        <f>+IF(Summary!P23+Summary!P24+Summary!P26+Summary!P27+Summary!P28+Summary!P29+Summary!P30+Summary!P32+Summary!P35+Summary!P34=0,0,Summary!P30/(Summary!P23+Summary!P24+Summary!P26+Summary!P27+Summary!P28+Summary!P29+Summary!P30+Summary!P32+Summary!P34+Summary!P35))</f>
        <v>0</v>
      </c>
    </row>
    <row r="20" spans="1:3" ht="15.75" customHeight="1" x14ac:dyDescent="0.25">
      <c r="B20" s="187" t="s">
        <v>291</v>
      </c>
      <c r="C20" s="496">
        <f>+IF(Summary!P23+Summary!P24+Summary!P26+Summary!P27+Summary!P28+Summary!P29+Summary!P30+Summary!P32+Summary!P35+Summary!P34=0,0,(Summary!P23+Summary!P24)/(Summary!P23+Summary!P24+Summary!P26+Summary!P27+Summary!P28+Summary!P29+Summary!P30+Summary!P32+Summary!P34+Summary!P35))</f>
        <v>0</v>
      </c>
    </row>
    <row r="21" spans="1:3" ht="15.75" customHeight="1" x14ac:dyDescent="0.25">
      <c r="B21" s="187" t="s">
        <v>292</v>
      </c>
      <c r="C21" s="496">
        <f>+IF(Summary!P23+Summary!P24+Summary!P26+Summary!P27+Summary!P28+Summary!P29+Summary!P30+Summary!P32+Summary!P35+Summary!P34=0,0,(Summary!P32+Summary!P34+Summary!P35)/(Summary!P23+Summary!P24+Summary!P26+Summary!P27+Summary!P28+Summary!P29+Summary!P30+Summary!P32+Summary!P34+Summary!P35))</f>
        <v>0</v>
      </c>
    </row>
    <row r="22" spans="1:3" ht="15.75" customHeight="1" x14ac:dyDescent="0.25">
      <c r="B22" s="107" t="s">
        <v>293</v>
      </c>
      <c r="C22" s="496">
        <f>+IF(Summary!P23+Summary!P24+Summary!P26+Summary!P27+Summary!P28+Summary!P29+Summary!P30+Summary!P32+Summary!P35+Summary!P34=0,0,(Summary!P26+Summary!P27+Summary!P28+Summary!P29)/(Summary!P23+Summary!P24+Summary!P26+Summary!P27+Summary!P28+Summary!P29+Summary!P30+Summary!P32+Summary!P34+Summary!P35))</f>
        <v>0</v>
      </c>
    </row>
    <row r="23" spans="1:3" ht="15.75" customHeight="1" x14ac:dyDescent="0.25">
      <c r="B23" s="106" t="s">
        <v>294</v>
      </c>
      <c r="C23" s="11">
        <v>1</v>
      </c>
    </row>
    <row r="24" spans="1:3" ht="15.75" customHeight="1" x14ac:dyDescent="0.25">
      <c r="B24" s="162" t="s">
        <v>295</v>
      </c>
      <c r="C24" s="490"/>
    </row>
    <row r="25" spans="1:3" ht="15.75" customHeight="1" x14ac:dyDescent="0.25">
      <c r="C25" s="490"/>
    </row>
    <row r="26" spans="1:3" ht="15.75" customHeight="1" x14ac:dyDescent="0.25">
      <c r="A26" s="157" t="s">
        <v>296</v>
      </c>
      <c r="B26" s="159" t="s">
        <v>297</v>
      </c>
    </row>
    <row r="27" spans="1:3" ht="28.5" customHeight="1" x14ac:dyDescent="0.25">
      <c r="B27" s="438" t="s">
        <v>288</v>
      </c>
      <c r="C27" s="438" t="s">
        <v>289</v>
      </c>
    </row>
    <row r="28" spans="1:3" ht="15.75" customHeight="1" x14ac:dyDescent="0.25">
      <c r="B28" s="18" t="s">
        <v>290</v>
      </c>
      <c r="C28" s="488">
        <f>+IF(Summary!P23+Summary!P24+Summary!P26+Summary!P27+Summary!P28+Summary!P29+Summary!P30+Summary!P32+Summary!P35+Summary!P34+Summary!P38=0,0,Summary!P30/(Summary!P23+Summary!P24+Summary!P26+Summary!P27+Summary!P28+Summary!P29+Summary!P30+Summary!P32+Summary!P34+Summary!P35+Summary!P38))</f>
        <v>0</v>
      </c>
    </row>
    <row r="29" spans="1:3" ht="15.75" customHeight="1" x14ac:dyDescent="0.25">
      <c r="B29" s="192" t="s">
        <v>291</v>
      </c>
      <c r="C29" s="496">
        <f>+IF(Summary!P23+Summary!P24+Summary!P26+Summary!P27+Summary!P28+Summary!P29+Summary!P30+Summary!P32+Summary!P35+Summary!P34+Summary!P38=0,0,(Summary!P23+Summary!P24)/(Summary!P23+Summary!P24+Summary!P26+Summary!P27+Summary!P28+Summary!P29+Summary!P30+Summary!P32+Summary!P34+Summary!P35+Summary!P38))</f>
        <v>0</v>
      </c>
    </row>
    <row r="30" spans="1:3" ht="15.75" customHeight="1" x14ac:dyDescent="0.25">
      <c r="B30" s="192" t="s">
        <v>294</v>
      </c>
      <c r="C30" s="496">
        <f>+IF(Summary!P23+Summary!P24+Summary!P26+Summary!P27+Summary!P28+Summary!P29+Summary!P30+Summary!P32+Summary!P35+Summary!P34+Summary!P38=0,0,Summary!P38/(Summary!P23+Summary!P24+Summary!P26+Summary!P27+Summary!P28+Summary!P29+Summary!P30+Summary!P32+Summary!P34+Summary!P35+Summary!P38))</f>
        <v>0</v>
      </c>
    </row>
    <row r="31" spans="1:3" ht="15.75" customHeight="1" x14ac:dyDescent="0.25">
      <c r="B31" s="192" t="s">
        <v>292</v>
      </c>
      <c r="C31" s="496">
        <f>+IF(Summary!P23+Summary!P24+Summary!P26+Summary!P27+Summary!P28+Summary!P29+Summary!P30+Summary!P32+Summary!P35+Summary!P34+Summary!P38=0,0,(Summary!P32+Summary!P34+Summary!P35)/(Summary!P23+Summary!P24+Summary!P26+Summary!P27+Summary!P28+Summary!P29+Summary!P30+Summary!P32+Summary!P34+Summary!P35+Summary!P38))</f>
        <v>0</v>
      </c>
    </row>
    <row r="32" spans="1:3" ht="15.75" customHeight="1" x14ac:dyDescent="0.25">
      <c r="B32" s="106" t="s">
        <v>293</v>
      </c>
      <c r="C32" s="497">
        <f>+IF(Summary!P23+Summary!P24+Summary!P26+Summary!P27+Summary!P28+Summary!P29+Summary!P30+Summary!P32+Summary!P35+Summary!P34+Summary!P38=0,0,(Summary!P26+Summary!P27+Summary!P28+Summary!P29)/(Summary!P23+Summary!P24+Summary!P26+Summary!P27+Summary!P28+Summary!P29+Summary!P30+Summary!P32+Summary!P34+Summary!P35+Summary!P38))</f>
        <v>0</v>
      </c>
    </row>
    <row r="33" spans="1:26" ht="15.75" customHeight="1" x14ac:dyDescent="0.25"/>
    <row r="34" spans="1:26" ht="15.75" customHeight="1" x14ac:dyDescent="0.25"/>
    <row r="35" spans="1:26" ht="15.75" customHeight="1" x14ac:dyDescent="0.25">
      <c r="A35" s="157" t="s">
        <v>530</v>
      </c>
      <c r="B35" s="159" t="s">
        <v>298</v>
      </c>
    </row>
    <row r="36" spans="1:26" ht="15.75" customHeight="1" x14ac:dyDescent="0.25">
      <c r="A36" s="157" t="s">
        <v>299</v>
      </c>
      <c r="B36" s="159" t="s">
        <v>300</v>
      </c>
    </row>
    <row r="37" spans="1:26" ht="15.75" customHeight="1" x14ac:dyDescent="0.25">
      <c r="A37" s="157"/>
      <c r="B37" s="319" t="s">
        <v>301</v>
      </c>
    </row>
    <row r="38" spans="1:26" ht="26.25" customHeight="1" x14ac:dyDescent="0.25">
      <c r="A38" s="157"/>
      <c r="B38" s="733" t="str">
        <f>+B185</f>
        <v>Planing scheme definition (QPP definition in parenthesis)</v>
      </c>
      <c r="C38" s="734"/>
      <c r="D38" s="734"/>
      <c r="E38" s="735"/>
      <c r="F38" s="733" t="s">
        <v>302</v>
      </c>
      <c r="G38" s="735"/>
      <c r="H38" s="595" t="str">
        <f>+D291</f>
        <v>Water, sewer, transport, parks</v>
      </c>
      <c r="I38" s="596"/>
      <c r="J38" s="596"/>
      <c r="K38" s="597"/>
      <c r="L38" s="595" t="s">
        <v>294</v>
      </c>
      <c r="M38" s="596"/>
      <c r="N38" s="596"/>
      <c r="O38" s="596"/>
      <c r="P38" s="597"/>
    </row>
    <row r="39" spans="1:26" ht="42" customHeight="1" x14ac:dyDescent="0.25">
      <c r="A39" s="157"/>
      <c r="B39" s="752"/>
      <c r="C39" s="753"/>
      <c r="D39" s="753"/>
      <c r="E39" s="754"/>
      <c r="F39" s="728"/>
      <c r="G39" s="730"/>
      <c r="H39" s="346" t="s">
        <v>526</v>
      </c>
      <c r="I39" s="346" t="s">
        <v>525</v>
      </c>
      <c r="J39" s="346" t="s">
        <v>303</v>
      </c>
      <c r="K39" s="346" t="s">
        <v>697</v>
      </c>
      <c r="L39" s="346" t="s">
        <v>304</v>
      </c>
      <c r="M39" s="346" t="s">
        <v>526</v>
      </c>
      <c r="N39" s="346" t="s">
        <v>525</v>
      </c>
      <c r="O39" s="346" t="s">
        <v>303</v>
      </c>
      <c r="P39" s="346" t="s">
        <v>697</v>
      </c>
    </row>
    <row r="40" spans="1:26" ht="15.75" customHeight="1" x14ac:dyDescent="0.25">
      <c r="A40" s="157"/>
      <c r="C40" s="491"/>
      <c r="D40" s="491"/>
      <c r="E40" s="492"/>
      <c r="F40" s="439">
        <f>+INDEX($G$186:$G$261,$Z40)</f>
        <v>0</v>
      </c>
      <c r="G40" s="14"/>
      <c r="H40" s="437" t="str">
        <f>+IF(Z40=1,"",VLOOKUP($F40,$B$293:$H$305,3))</f>
        <v/>
      </c>
      <c r="I40" s="447"/>
      <c r="J40" s="440" t="str">
        <f>+IF(Z40=1,"",VLOOKUP($F40,$B$293:$H$305,5))</f>
        <v/>
      </c>
      <c r="K40" s="440" t="str">
        <f>+IF(OR(Z40=1,J40="TBA"),"",J40*I40)</f>
        <v/>
      </c>
      <c r="L40" s="15" t="str">
        <f>+IF(Z40=1,"",VLOOKUP($F40,$B$293:$H$305,6))</f>
        <v/>
      </c>
      <c r="M40" s="441" t="str">
        <f>IF(H40="","","Imp. Area (m2)")</f>
        <v/>
      </c>
      <c r="N40" s="447"/>
      <c r="O40" s="440" t="str">
        <f>+IF(Z40=1,"",VLOOKUP($F40,$B$293:$I$305,8))</f>
        <v/>
      </c>
      <c r="P40" s="440" t="str">
        <f>+IF(OR(Z40=1,O40="TBA"),"",O40*N40)</f>
        <v/>
      </c>
      <c r="V40" s="132" t="str">
        <f>+IF(F40=B175,"Transport charge only applies to High Impact Rural uses","")</f>
        <v/>
      </c>
      <c r="Z40" s="160">
        <v>1</v>
      </c>
    </row>
    <row r="41" spans="1:26" ht="15.75" customHeight="1" x14ac:dyDescent="0.25">
      <c r="A41" s="157"/>
      <c r="C41" s="491"/>
      <c r="D41" s="491"/>
      <c r="E41" s="491"/>
      <c r="F41" s="439">
        <f>+INDEX($G$186:$G$261,$Z41)</f>
        <v>0</v>
      </c>
      <c r="G41" s="14"/>
      <c r="H41" s="441" t="str">
        <f>+IF(Z41=1,"",VLOOKUP($F41,$B$293:$H$305,3))</f>
        <v/>
      </c>
      <c r="I41" s="447"/>
      <c r="J41" s="440" t="str">
        <f>+IF(Z41=1,"",VLOOKUP($F41,$B$293:$H$305,5))</f>
        <v/>
      </c>
      <c r="K41" s="440" t="str">
        <f>+IF(OR(Z41=1,J41="TBA"),"",J41*I41)</f>
        <v/>
      </c>
      <c r="L41" s="15" t="str">
        <f>+IF(Z41=1,"",VLOOKUP($F41,$B$293:$H$305,6))</f>
        <v/>
      </c>
      <c r="M41" s="441" t="str">
        <f>IF(H41="","","Imp. Area (m2)")</f>
        <v/>
      </c>
      <c r="N41" s="447"/>
      <c r="O41" s="440" t="str">
        <f>+IF(Z41=1,"",VLOOKUP($F41,$B$293:$I$305,8))</f>
        <v/>
      </c>
      <c r="P41" s="440" t="str">
        <f>+IF(OR(Z41=1,O41="TBA"),"",O41*N41)</f>
        <v/>
      </c>
      <c r="Z41" s="160">
        <v>1</v>
      </c>
    </row>
    <row r="42" spans="1:26" ht="15.75" customHeight="1" x14ac:dyDescent="0.25">
      <c r="A42" s="157"/>
      <c r="C42" s="491"/>
      <c r="D42" s="491"/>
      <c r="E42" s="491"/>
      <c r="F42" s="439">
        <f>+INDEX($G$186:$G$261,$Z42)</f>
        <v>0</v>
      </c>
      <c r="G42" s="14"/>
      <c r="H42" s="441" t="str">
        <f>+IF(Z42=1,"",VLOOKUP($F42,$B$293:$H$305,3))</f>
        <v/>
      </c>
      <c r="I42" s="447"/>
      <c r="J42" s="440" t="str">
        <f>+IF(Z42=1,"",VLOOKUP($F42,$B$293:$H$305,5))</f>
        <v/>
      </c>
      <c r="K42" s="440" t="str">
        <f>+IF(OR(Z42=1,J42="TBA"),"",J42*I42)</f>
        <v/>
      </c>
      <c r="L42" s="15" t="str">
        <f>+IF(Z42=1,"",VLOOKUP($F42,$B$293:$H$305,6))</f>
        <v/>
      </c>
      <c r="M42" s="441" t="str">
        <f>IF(H42="","","Imp. Area (m2)")</f>
        <v/>
      </c>
      <c r="N42" s="447"/>
      <c r="O42" s="440" t="str">
        <f>+IF(Z42=1,"",VLOOKUP($F42,$B$293:$I$305,8))</f>
        <v/>
      </c>
      <c r="P42" s="440" t="str">
        <f>+IF(OR(Z42=1,O42="TBA"),"",O42*N42)</f>
        <v/>
      </c>
      <c r="Z42" s="160">
        <v>1</v>
      </c>
    </row>
    <row r="43" spans="1:26" ht="15.75" customHeight="1" x14ac:dyDescent="0.25">
      <c r="A43" s="157"/>
      <c r="C43" s="491"/>
      <c r="D43" s="491"/>
      <c r="E43" s="491"/>
      <c r="F43" s="439">
        <f>+INDEX($G$186:$G$261,$Z43)</f>
        <v>0</v>
      </c>
      <c r="G43" s="14"/>
      <c r="H43" s="441" t="str">
        <f>+IF(Z43=1,"",VLOOKUP($F43,$B$293:$H$305,3))</f>
        <v/>
      </c>
      <c r="I43" s="447"/>
      <c r="J43" s="440" t="str">
        <f>+IF(Z43=1,"",VLOOKUP($F43,$B$293:$H$305,5))</f>
        <v/>
      </c>
      <c r="K43" s="440" t="str">
        <f>+IF(OR(Z43=1,J43="TBA"),"",J43*I43)</f>
        <v/>
      </c>
      <c r="L43" s="15" t="str">
        <f>+IF(Z43=1,"",VLOOKUP($F43,$B$293:$H$305,6))</f>
        <v/>
      </c>
      <c r="M43" s="441" t="str">
        <f>IF(H43="","","Imp. Area (m2)")</f>
        <v/>
      </c>
      <c r="N43" s="447"/>
      <c r="O43" s="440" t="str">
        <f>+IF(Z43=1,"",VLOOKUP($F43,$B$293:$I$305,8))</f>
        <v/>
      </c>
      <c r="P43" s="440" t="str">
        <f>+IF(OR(Z43=1,O43="TBA"),"",O43*N43)</f>
        <v/>
      </c>
      <c r="Z43" s="160">
        <v>1</v>
      </c>
    </row>
    <row r="44" spans="1:26" ht="15.75" customHeight="1" x14ac:dyDescent="0.25">
      <c r="A44" s="157"/>
      <c r="C44" s="493"/>
      <c r="D44" s="493"/>
      <c r="E44" s="493"/>
      <c r="F44" s="439">
        <f>+INDEX($G$186:$G$261,$Z44)</f>
        <v>0</v>
      </c>
      <c r="G44" s="14"/>
      <c r="H44" s="441" t="str">
        <f>+IF(Z44=1,"",VLOOKUP($F44,$B$293:$H$305,3))</f>
        <v/>
      </c>
      <c r="I44" s="447"/>
      <c r="J44" s="440" t="str">
        <f>+IF(Z44=1,"",VLOOKUP($F44,$B$293:$H$305,5))</f>
        <v/>
      </c>
      <c r="K44" s="440" t="str">
        <f>+IF(OR(Z44=1,J44="TBA"),"",J44*I44)</f>
        <v/>
      </c>
      <c r="L44" s="15" t="str">
        <f>+IF(Z44=1,"",VLOOKUP($F44,$B$293:$H$305,6))</f>
        <v/>
      </c>
      <c r="M44" s="441" t="str">
        <f>IF(H44="","","Imp. Area (m2)")</f>
        <v/>
      </c>
      <c r="N44" s="447"/>
      <c r="O44" s="442" t="str">
        <f>+IF(Z44=1,"",VLOOKUP($F44,$B$293:$H$305,7))</f>
        <v/>
      </c>
      <c r="P44" s="440" t="str">
        <f>+IF(OR(Z44=1,O44="TBA"),"",O44*N44)</f>
        <v/>
      </c>
      <c r="Z44" s="160">
        <v>1</v>
      </c>
    </row>
    <row r="45" spans="1:26" ht="15.75" customHeight="1" x14ac:dyDescent="0.25">
      <c r="A45" s="157"/>
      <c r="B45" s="448"/>
      <c r="C45" s="449"/>
      <c r="D45" s="449"/>
      <c r="E45" s="450"/>
      <c r="F45" s="451"/>
      <c r="G45" s="452"/>
      <c r="H45" s="453"/>
      <c r="I45" s="447"/>
      <c r="J45" s="454"/>
      <c r="K45" s="440">
        <f>+IF(Z45=1,"",J45*I45)</f>
        <v>0</v>
      </c>
      <c r="L45" s="453"/>
      <c r="M45" s="453"/>
      <c r="N45" s="447"/>
      <c r="O45" s="455"/>
      <c r="P45" s="440">
        <f>+IF(OR(AD45=1,O45="TBA"),"",O45*N45)</f>
        <v>0</v>
      </c>
    </row>
    <row r="46" spans="1:26" ht="15.75" customHeight="1" x14ac:dyDescent="0.25">
      <c r="A46" s="157"/>
      <c r="B46" s="162" t="s">
        <v>305</v>
      </c>
    </row>
    <row r="47" spans="1:26" ht="15.75" customHeight="1" x14ac:dyDescent="0.25">
      <c r="A47" s="157"/>
      <c r="B47" s="162"/>
    </row>
    <row r="48" spans="1:26" ht="15.75" customHeight="1" x14ac:dyDescent="0.25">
      <c r="A48" s="157"/>
    </row>
    <row r="49" spans="1:26" ht="15.75" customHeight="1" x14ac:dyDescent="0.25">
      <c r="A49" s="157" t="s">
        <v>306</v>
      </c>
      <c r="B49" s="159" t="s">
        <v>307</v>
      </c>
    </row>
    <row r="50" spans="1:26" ht="15.75" customHeight="1" x14ac:dyDescent="0.25">
      <c r="A50" s="157"/>
      <c r="B50" s="319" t="s">
        <v>301</v>
      </c>
    </row>
    <row r="51" spans="1:26" ht="25.5" customHeight="1" x14ac:dyDescent="0.25">
      <c r="B51" s="733" t="str">
        <f>+B38</f>
        <v>Planing scheme definition (QPP definition in parenthesis)</v>
      </c>
      <c r="C51" s="734"/>
      <c r="D51" s="734"/>
      <c r="E51" s="735"/>
      <c r="F51" s="733" t="s">
        <v>302</v>
      </c>
      <c r="G51" s="735"/>
      <c r="H51" s="595" t="s">
        <v>308</v>
      </c>
      <c r="I51" s="596"/>
      <c r="J51" s="596"/>
      <c r="K51" s="597"/>
    </row>
    <row r="52" spans="1:26" ht="29.25" customHeight="1" x14ac:dyDescent="0.25">
      <c r="A52" s="157"/>
      <c r="B52" s="752"/>
      <c r="C52" s="753"/>
      <c r="D52" s="753"/>
      <c r="E52" s="754"/>
      <c r="F52" s="752"/>
      <c r="G52" s="754"/>
      <c r="H52" s="346" t="s">
        <v>526</v>
      </c>
      <c r="I52" s="346" t="s">
        <v>525</v>
      </c>
      <c r="J52" s="346" t="s">
        <v>303</v>
      </c>
      <c r="K52" s="346" t="s">
        <v>697</v>
      </c>
    </row>
    <row r="53" spans="1:26" ht="15.75" customHeight="1" x14ac:dyDescent="0.25">
      <c r="A53" s="157"/>
      <c r="C53" s="491"/>
      <c r="D53" s="491"/>
      <c r="E53" s="491"/>
      <c r="F53" s="439">
        <f>+INDEX($G$267:$G$286,$Z53)</f>
        <v>0</v>
      </c>
      <c r="G53" s="14"/>
      <c r="H53" s="441" t="str">
        <f>+IF(Z53=1,"",VLOOKUP($F53,$B$314:$E$317,3))</f>
        <v/>
      </c>
      <c r="I53" s="456"/>
      <c r="J53" s="97" t="str">
        <f>+IF(Z53=1,"",VLOOKUP($F53,$B$314:$F$317,5))</f>
        <v/>
      </c>
      <c r="K53" s="440" t="str">
        <f>+IF(OR(Z53=1,J53="TBA"),"",J53*I53)</f>
        <v/>
      </c>
      <c r="Z53" s="160">
        <v>1</v>
      </c>
    </row>
    <row r="54" spans="1:26" ht="15.75" customHeight="1" x14ac:dyDescent="0.25">
      <c r="A54" s="157"/>
      <c r="C54" s="491"/>
      <c r="D54" s="491"/>
      <c r="E54" s="491"/>
      <c r="F54" s="439">
        <f>+INDEX($G$267:$G$286,$Z54)</f>
        <v>0</v>
      </c>
      <c r="G54" s="14"/>
      <c r="H54" s="441" t="str">
        <f>+IF(Z54=1,"",VLOOKUP($F54,$B$314:$E$317,3))</f>
        <v/>
      </c>
      <c r="I54" s="456"/>
      <c r="J54" s="97" t="str">
        <f>+IF(Z54=1,"",VLOOKUP($F54,$B$314:$F$317,5))</f>
        <v/>
      </c>
      <c r="K54" s="440" t="str">
        <f>+IF(OR(Z54=1,J54="TBA"),"",J54*I54)</f>
        <v/>
      </c>
      <c r="Z54" s="160">
        <v>1</v>
      </c>
    </row>
    <row r="55" spans="1:26" ht="15.75" customHeight="1" x14ac:dyDescent="0.25">
      <c r="A55" s="157"/>
      <c r="C55" s="491"/>
      <c r="D55" s="491"/>
      <c r="E55" s="491"/>
      <c r="F55" s="439">
        <f>+INDEX($G$267:$G$286,$Z55)</f>
        <v>0</v>
      </c>
      <c r="G55" s="14"/>
      <c r="H55" s="441" t="str">
        <f>+IF(Z55=1,"",VLOOKUP($F55,$B$314:$E$317,3))</f>
        <v/>
      </c>
      <c r="I55" s="456"/>
      <c r="J55" s="97" t="str">
        <f>+IF(Z55=1,"",VLOOKUP($F55,$B$314:$F$317,5))</f>
        <v/>
      </c>
      <c r="K55" s="440" t="str">
        <f>+IF(OR(Z55=1,J55="TBA"),"",J55*I55)</f>
        <v/>
      </c>
      <c r="Z55" s="160">
        <v>1</v>
      </c>
    </row>
    <row r="56" spans="1:26" ht="15.75" customHeight="1" x14ac:dyDescent="0.25">
      <c r="A56" s="157"/>
      <c r="C56" s="491"/>
      <c r="D56" s="491"/>
      <c r="E56" s="491"/>
      <c r="F56" s="439">
        <f>+INDEX($G$267:$G$286,$Z56)</f>
        <v>0</v>
      </c>
      <c r="G56" s="14"/>
      <c r="H56" s="441" t="str">
        <f>+IF(Z56=1,"",VLOOKUP($F56,$B$314:$E$317,3))</f>
        <v/>
      </c>
      <c r="I56" s="456"/>
      <c r="J56" s="97" t="str">
        <f>+IF(Z56=1,"",VLOOKUP($F56,$B$314:$F$317,5))</f>
        <v/>
      </c>
      <c r="K56" s="440" t="str">
        <f>+IF(OR(Z56=1,J56="TBA"),"",J56*I56)</f>
        <v/>
      </c>
      <c r="Z56" s="160">
        <v>1</v>
      </c>
    </row>
    <row r="57" spans="1:26" ht="15.75" customHeight="1" x14ac:dyDescent="0.25">
      <c r="C57" s="491"/>
      <c r="D57" s="491"/>
      <c r="E57" s="491"/>
      <c r="F57" s="439">
        <f>+INDEX($G$267:$G$286,$Z57)</f>
        <v>0</v>
      </c>
      <c r="G57" s="14"/>
      <c r="H57" s="441" t="str">
        <f>+IF(Z57=1,"",VLOOKUP($F57,$B$314:$E$317,3))</f>
        <v/>
      </c>
      <c r="I57" s="456"/>
      <c r="J57" s="97" t="str">
        <f>+IF(Z57=1,"",VLOOKUP($F57,$B$314:$E$317,4))</f>
        <v/>
      </c>
      <c r="K57" s="440" t="str">
        <f>+IF(OR(Z57=1,J57="TBA"),"",J57*I57)</f>
        <v/>
      </c>
      <c r="Z57" s="160">
        <v>1</v>
      </c>
    </row>
    <row r="58" spans="1:26" ht="15.75" customHeight="1" x14ac:dyDescent="0.25">
      <c r="B58" s="448"/>
      <c r="C58" s="449"/>
      <c r="D58" s="449"/>
      <c r="E58" s="450"/>
      <c r="F58" s="451"/>
      <c r="G58" s="452"/>
      <c r="H58" s="453"/>
      <c r="I58" s="456"/>
      <c r="J58" s="454"/>
      <c r="K58" s="440">
        <f>+IF(Z58=1,"",J58*I58)</f>
        <v>0</v>
      </c>
    </row>
    <row r="59" spans="1:26" ht="15.75" customHeight="1" x14ac:dyDescent="0.25">
      <c r="A59" s="157"/>
      <c r="B59" s="162" t="s">
        <v>305</v>
      </c>
    </row>
    <row r="60" spans="1:26" ht="15.75" customHeight="1" x14ac:dyDescent="0.25">
      <c r="A60" s="157"/>
      <c r="B60" s="162"/>
    </row>
    <row r="61" spans="1:26" ht="15.75" customHeight="1" x14ac:dyDescent="0.25">
      <c r="A61" s="157"/>
      <c r="B61" s="162"/>
      <c r="Q61" s="494"/>
      <c r="R61" s="494"/>
      <c r="S61" s="494"/>
      <c r="T61" s="494"/>
      <c r="U61" s="494"/>
    </row>
    <row r="62" spans="1:26" ht="15.75" customHeight="1" x14ac:dyDescent="0.25">
      <c r="A62" s="157" t="s">
        <v>309</v>
      </c>
      <c r="B62" s="159" t="s">
        <v>310</v>
      </c>
    </row>
    <row r="63" spans="1:26" ht="15.75" customHeight="1" x14ac:dyDescent="0.25">
      <c r="A63" s="157"/>
      <c r="B63" s="443"/>
      <c r="C63" s="444"/>
      <c r="D63" s="6"/>
      <c r="E63" s="346" t="s">
        <v>293</v>
      </c>
      <c r="F63" s="346" t="s">
        <v>291</v>
      </c>
      <c r="G63" s="346" t="s">
        <v>292</v>
      </c>
      <c r="H63" s="346" t="s">
        <v>290</v>
      </c>
      <c r="I63" s="346" t="s">
        <v>294</v>
      </c>
      <c r="J63" s="346" t="s">
        <v>211</v>
      </c>
    </row>
    <row r="64" spans="1:26" ht="15.75" customHeight="1" x14ac:dyDescent="0.25">
      <c r="A64" s="157"/>
      <c r="B64" s="445" t="s">
        <v>311</v>
      </c>
      <c r="C64" s="188"/>
      <c r="D64" s="189"/>
      <c r="E64" s="298"/>
      <c r="F64" s="446"/>
      <c r="G64" s="446"/>
      <c r="H64" s="446"/>
      <c r="I64" s="298"/>
      <c r="J64" s="298"/>
    </row>
    <row r="65" spans="1:10" ht="15.75" customHeight="1" x14ac:dyDescent="0.25">
      <c r="A65" s="157"/>
      <c r="B65" s="187" t="str">
        <f>+IF(Z40=1,"",INDEX($B$186:$B$261,Z40))</f>
        <v/>
      </c>
      <c r="C65" s="188"/>
      <c r="D65" s="189"/>
      <c r="E65" s="298" t="str">
        <f t="shared" ref="E65:F70" si="0">+IF($K40="","",IF($F40=$B$175,0,VLOOKUP(E$63,$B$19:$C$22,2)*$K40))</f>
        <v/>
      </c>
      <c r="F65" s="446" t="str">
        <f t="shared" si="0"/>
        <v/>
      </c>
      <c r="G65" s="446" t="str">
        <f t="shared" ref="G65:G70" si="1">+IF($K40="","",IF($F40=$B$175,K40,VLOOKUP(G$63,$B$19:$C$22,2)*$K40))</f>
        <v/>
      </c>
      <c r="H65" s="446" t="str">
        <f t="shared" ref="H65:H70" si="2">+IF($K40="","",IF($F40=$B$175,0,VLOOKUP(H$63,$B$19:$C$22,2)*$K40))</f>
        <v/>
      </c>
      <c r="I65" s="298" t="str">
        <f t="shared" ref="I65:I70" si="3">+P40</f>
        <v/>
      </c>
      <c r="J65" s="298">
        <f t="shared" ref="J65:J70" si="4">SUM(E65:I65)</f>
        <v>0</v>
      </c>
    </row>
    <row r="66" spans="1:10" ht="15.75" customHeight="1" x14ac:dyDescent="0.25">
      <c r="A66" s="157"/>
      <c r="B66" s="187" t="str">
        <f>+IF(Z41=1,"",INDEX($B$186:$B$261,Z41))</f>
        <v/>
      </c>
      <c r="C66" s="188"/>
      <c r="D66" s="189"/>
      <c r="E66" s="298" t="str">
        <f t="shared" si="0"/>
        <v/>
      </c>
      <c r="F66" s="446" t="str">
        <f t="shared" si="0"/>
        <v/>
      </c>
      <c r="G66" s="446" t="str">
        <f t="shared" si="1"/>
        <v/>
      </c>
      <c r="H66" s="446" t="str">
        <f t="shared" si="2"/>
        <v/>
      </c>
      <c r="I66" s="298" t="str">
        <f t="shared" si="3"/>
        <v/>
      </c>
      <c r="J66" s="298">
        <f t="shared" si="4"/>
        <v>0</v>
      </c>
    </row>
    <row r="67" spans="1:10" ht="15.75" customHeight="1" x14ac:dyDescent="0.25">
      <c r="A67" s="157"/>
      <c r="B67" s="187" t="str">
        <f>+IF(Z42=1,"",INDEX($B$186:$B$261,Z42))</f>
        <v/>
      </c>
      <c r="C67" s="188"/>
      <c r="D67" s="189"/>
      <c r="E67" s="298" t="str">
        <f t="shared" si="0"/>
        <v/>
      </c>
      <c r="F67" s="446" t="str">
        <f t="shared" si="0"/>
        <v/>
      </c>
      <c r="G67" s="446" t="str">
        <f t="shared" si="1"/>
        <v/>
      </c>
      <c r="H67" s="446" t="str">
        <f t="shared" si="2"/>
        <v/>
      </c>
      <c r="I67" s="298" t="str">
        <f t="shared" si="3"/>
        <v/>
      </c>
      <c r="J67" s="298">
        <f t="shared" si="4"/>
        <v>0</v>
      </c>
    </row>
    <row r="68" spans="1:10" ht="15.75" customHeight="1" x14ac:dyDescent="0.25">
      <c r="A68" s="157"/>
      <c r="B68" s="187" t="str">
        <f>+IF(Z43=1,"",INDEX($B$186:$B$261,Z43))</f>
        <v/>
      </c>
      <c r="C68" s="188"/>
      <c r="D68" s="189"/>
      <c r="E68" s="298" t="str">
        <f t="shared" si="0"/>
        <v/>
      </c>
      <c r="F68" s="446" t="str">
        <f t="shared" si="0"/>
        <v/>
      </c>
      <c r="G68" s="446" t="str">
        <f t="shared" si="1"/>
        <v/>
      </c>
      <c r="H68" s="446" t="str">
        <f t="shared" si="2"/>
        <v/>
      </c>
      <c r="I68" s="298" t="str">
        <f t="shared" si="3"/>
        <v/>
      </c>
      <c r="J68" s="298">
        <f t="shared" si="4"/>
        <v>0</v>
      </c>
    </row>
    <row r="69" spans="1:10" ht="15.75" customHeight="1" x14ac:dyDescent="0.25">
      <c r="A69" s="157"/>
      <c r="B69" s="187" t="str">
        <f>+IF(Z44=1,"",INDEX($B$186:$B$261,Z44))</f>
        <v/>
      </c>
      <c r="C69" s="188"/>
      <c r="D69" s="189"/>
      <c r="E69" s="298" t="str">
        <f t="shared" si="0"/>
        <v/>
      </c>
      <c r="F69" s="446" t="str">
        <f t="shared" si="0"/>
        <v/>
      </c>
      <c r="G69" s="446" t="str">
        <f t="shared" si="1"/>
        <v/>
      </c>
      <c r="H69" s="446" t="str">
        <f t="shared" si="2"/>
        <v/>
      </c>
      <c r="I69" s="298" t="str">
        <f t="shared" si="3"/>
        <v/>
      </c>
      <c r="J69" s="298">
        <f t="shared" si="4"/>
        <v>0</v>
      </c>
    </row>
    <row r="70" spans="1:10" ht="15.75" customHeight="1" x14ac:dyDescent="0.25">
      <c r="A70" s="157"/>
      <c r="B70" s="187" t="str">
        <f>+IF(B45="","",B45)</f>
        <v/>
      </c>
      <c r="C70" s="188"/>
      <c r="D70" s="189"/>
      <c r="E70" s="298">
        <f t="shared" si="0"/>
        <v>0</v>
      </c>
      <c r="F70" s="446">
        <f t="shared" si="0"/>
        <v>0</v>
      </c>
      <c r="G70" s="446">
        <f t="shared" si="1"/>
        <v>0</v>
      </c>
      <c r="H70" s="446">
        <f t="shared" si="2"/>
        <v>0</v>
      </c>
      <c r="I70" s="298">
        <f t="shared" si="3"/>
        <v>0</v>
      </c>
      <c r="J70" s="298">
        <f t="shared" si="4"/>
        <v>0</v>
      </c>
    </row>
    <row r="71" spans="1:10" ht="15.75" customHeight="1" x14ac:dyDescent="0.25">
      <c r="A71" s="157"/>
      <c r="B71" s="445" t="s">
        <v>312</v>
      </c>
      <c r="C71" s="188"/>
      <c r="D71" s="189"/>
      <c r="E71" s="298"/>
      <c r="F71" s="446"/>
      <c r="G71" s="446"/>
      <c r="H71" s="446"/>
      <c r="I71" s="298"/>
      <c r="J71" s="298"/>
    </row>
    <row r="72" spans="1:10" ht="15.75" customHeight="1" x14ac:dyDescent="0.25">
      <c r="A72" s="157"/>
      <c r="B72" s="187" t="str">
        <f>+IF(Z53=1,"",INDEX($B$267:$B$286,Z53))</f>
        <v/>
      </c>
      <c r="C72" s="188"/>
      <c r="D72" s="189"/>
      <c r="E72" s="298" t="str">
        <f t="shared" ref="E72:I77" si="5">+IF($K53="","",VLOOKUP(E$63,$B$28:$C$32,2)*$K53)</f>
        <v/>
      </c>
      <c r="F72" s="446" t="str">
        <f t="shared" si="5"/>
        <v/>
      </c>
      <c r="G72" s="446" t="str">
        <f t="shared" si="5"/>
        <v/>
      </c>
      <c r="H72" s="446" t="str">
        <f t="shared" si="5"/>
        <v/>
      </c>
      <c r="I72" s="298" t="str">
        <f t="shared" si="5"/>
        <v/>
      </c>
      <c r="J72" s="298">
        <f t="shared" ref="J72:J78" si="6">SUM(E72:I72)</f>
        <v>0</v>
      </c>
    </row>
    <row r="73" spans="1:10" ht="15.75" customHeight="1" x14ac:dyDescent="0.25">
      <c r="A73" s="157"/>
      <c r="B73" s="187" t="str">
        <f>+IF(Z54=1,"",INDEX($B$267:$B$286,Z54))</f>
        <v/>
      </c>
      <c r="C73" s="188"/>
      <c r="D73" s="189"/>
      <c r="E73" s="298" t="str">
        <f t="shared" si="5"/>
        <v/>
      </c>
      <c r="F73" s="446" t="str">
        <f t="shared" si="5"/>
        <v/>
      </c>
      <c r="G73" s="446" t="str">
        <f t="shared" si="5"/>
        <v/>
      </c>
      <c r="H73" s="446" t="str">
        <f t="shared" si="5"/>
        <v/>
      </c>
      <c r="I73" s="298" t="str">
        <f t="shared" si="5"/>
        <v/>
      </c>
      <c r="J73" s="298">
        <f t="shared" si="6"/>
        <v>0</v>
      </c>
    </row>
    <row r="74" spans="1:10" ht="15.75" customHeight="1" x14ac:dyDescent="0.25">
      <c r="A74" s="157"/>
      <c r="B74" s="187" t="str">
        <f>+IF(Z55=1,"",INDEX($B$267:$B$286,Z55))</f>
        <v/>
      </c>
      <c r="C74" s="188"/>
      <c r="D74" s="189"/>
      <c r="E74" s="298" t="str">
        <f t="shared" si="5"/>
        <v/>
      </c>
      <c r="F74" s="446" t="str">
        <f t="shared" si="5"/>
        <v/>
      </c>
      <c r="G74" s="446" t="str">
        <f t="shared" si="5"/>
        <v/>
      </c>
      <c r="H74" s="446" t="str">
        <f t="shared" si="5"/>
        <v/>
      </c>
      <c r="I74" s="298" t="str">
        <f t="shared" si="5"/>
        <v/>
      </c>
      <c r="J74" s="298">
        <f t="shared" si="6"/>
        <v>0</v>
      </c>
    </row>
    <row r="75" spans="1:10" ht="15.75" customHeight="1" x14ac:dyDescent="0.25">
      <c r="A75" s="157"/>
      <c r="B75" s="187" t="str">
        <f>+IF(Z56=1,"",INDEX($B$267:$B$286,Z56))</f>
        <v/>
      </c>
      <c r="C75" s="188"/>
      <c r="D75" s="189"/>
      <c r="E75" s="298" t="str">
        <f t="shared" si="5"/>
        <v/>
      </c>
      <c r="F75" s="446" t="str">
        <f t="shared" si="5"/>
        <v/>
      </c>
      <c r="G75" s="446" t="str">
        <f t="shared" si="5"/>
        <v/>
      </c>
      <c r="H75" s="446" t="str">
        <f t="shared" si="5"/>
        <v/>
      </c>
      <c r="I75" s="298" t="str">
        <f t="shared" si="5"/>
        <v/>
      </c>
      <c r="J75" s="298">
        <f t="shared" si="6"/>
        <v>0</v>
      </c>
    </row>
    <row r="76" spans="1:10" ht="15.75" customHeight="1" x14ac:dyDescent="0.25">
      <c r="A76" s="157"/>
      <c r="B76" s="187" t="str">
        <f>+IF(Z57=1,"",INDEX($B$267:$B$286,Z57))</f>
        <v/>
      </c>
      <c r="C76" s="188"/>
      <c r="D76" s="189"/>
      <c r="E76" s="298" t="str">
        <f t="shared" si="5"/>
        <v/>
      </c>
      <c r="F76" s="446" t="str">
        <f t="shared" si="5"/>
        <v/>
      </c>
      <c r="G76" s="446" t="str">
        <f t="shared" si="5"/>
        <v/>
      </c>
      <c r="H76" s="446" t="str">
        <f t="shared" si="5"/>
        <v/>
      </c>
      <c r="I76" s="298" t="str">
        <f t="shared" si="5"/>
        <v/>
      </c>
      <c r="J76" s="298">
        <f t="shared" si="6"/>
        <v>0</v>
      </c>
    </row>
    <row r="77" spans="1:10" ht="15.75" customHeight="1" x14ac:dyDescent="0.25">
      <c r="A77" s="157"/>
      <c r="B77" s="187" t="str">
        <f>+IF(B58="","",B58)</f>
        <v/>
      </c>
      <c r="C77" s="188"/>
      <c r="D77" s="189"/>
      <c r="E77" s="298">
        <f t="shared" si="5"/>
        <v>0</v>
      </c>
      <c r="F77" s="446">
        <f t="shared" si="5"/>
        <v>0</v>
      </c>
      <c r="G77" s="446">
        <f t="shared" si="5"/>
        <v>0</v>
      </c>
      <c r="H77" s="446">
        <f t="shared" si="5"/>
        <v>0</v>
      </c>
      <c r="I77" s="298">
        <f t="shared" si="5"/>
        <v>0</v>
      </c>
      <c r="J77" s="298">
        <f t="shared" si="6"/>
        <v>0</v>
      </c>
    </row>
    <row r="78" spans="1:10" ht="15.75" customHeight="1" x14ac:dyDescent="0.25">
      <c r="A78" s="157"/>
      <c r="B78" s="12" t="s">
        <v>211</v>
      </c>
      <c r="C78" s="13"/>
      <c r="D78" s="14"/>
      <c r="E78" s="9">
        <f>SUM(E65:E77)</f>
        <v>0</v>
      </c>
      <c r="F78" s="9">
        <f>SUM(F65:F77)</f>
        <v>0</v>
      </c>
      <c r="G78" s="9">
        <f>SUM(G65:G77)</f>
        <v>0</v>
      </c>
      <c r="H78" s="9">
        <f>SUM(H65:H77)</f>
        <v>0</v>
      </c>
      <c r="I78" s="9">
        <f>SUM(I65:I77)</f>
        <v>0</v>
      </c>
      <c r="J78" s="9">
        <f t="shared" si="6"/>
        <v>0</v>
      </c>
    </row>
    <row r="79" spans="1:10" ht="15.75" customHeight="1" x14ac:dyDescent="0.25">
      <c r="A79" s="157"/>
    </row>
    <row r="80" spans="1:10" ht="15.75" customHeight="1" x14ac:dyDescent="0.25">
      <c r="A80" s="157"/>
    </row>
    <row r="81" spans="1:26" ht="15.75" customHeight="1" x14ac:dyDescent="0.25">
      <c r="A81" s="157" t="s">
        <v>531</v>
      </c>
      <c r="B81" s="159" t="s">
        <v>313</v>
      </c>
    </row>
    <row r="82" spans="1:26" ht="15.75" customHeight="1" x14ac:dyDescent="0.25">
      <c r="A82" s="157" t="s">
        <v>314</v>
      </c>
      <c r="B82" s="159" t="s">
        <v>315</v>
      </c>
    </row>
    <row r="83" spans="1:26" ht="15.75" customHeight="1" x14ac:dyDescent="0.25">
      <c r="A83" s="157"/>
      <c r="B83" s="319" t="s">
        <v>301</v>
      </c>
    </row>
    <row r="84" spans="1:26" ht="26.25" customHeight="1" x14ac:dyDescent="0.25">
      <c r="A84" s="157"/>
      <c r="B84" s="733" t="str">
        <f>+B38</f>
        <v>Planing scheme definition (QPP definition in parenthesis)</v>
      </c>
      <c r="C84" s="734"/>
      <c r="D84" s="734"/>
      <c r="E84" s="735"/>
      <c r="F84" s="733" t="s">
        <v>302</v>
      </c>
      <c r="G84" s="735"/>
      <c r="H84" s="595" t="str">
        <f>+H38</f>
        <v>Water, sewer, transport, parks</v>
      </c>
      <c r="I84" s="596"/>
      <c r="J84" s="596"/>
      <c r="K84" s="597"/>
      <c r="L84" s="595" t="s">
        <v>294</v>
      </c>
      <c r="M84" s="596"/>
      <c r="N84" s="596"/>
      <c r="O84" s="596"/>
      <c r="P84" s="597"/>
    </row>
    <row r="85" spans="1:26" ht="42" customHeight="1" x14ac:dyDescent="0.25">
      <c r="A85" s="157"/>
      <c r="B85" s="752"/>
      <c r="C85" s="753"/>
      <c r="D85" s="753"/>
      <c r="E85" s="754"/>
      <c r="F85" s="728"/>
      <c r="G85" s="730"/>
      <c r="H85" s="346" t="s">
        <v>526</v>
      </c>
      <c r="I85" s="346" t="s">
        <v>525</v>
      </c>
      <c r="J85" s="346" t="s">
        <v>303</v>
      </c>
      <c r="K85" s="346" t="s">
        <v>697</v>
      </c>
      <c r="L85" s="346" t="s">
        <v>304</v>
      </c>
      <c r="M85" s="346" t="s">
        <v>526</v>
      </c>
      <c r="N85" s="346" t="s">
        <v>525</v>
      </c>
      <c r="O85" s="346" t="s">
        <v>303</v>
      </c>
      <c r="P85" s="346" t="s">
        <v>697</v>
      </c>
    </row>
    <row r="86" spans="1:26" ht="15.75" customHeight="1" x14ac:dyDescent="0.25">
      <c r="A86" s="157"/>
      <c r="C86" s="491"/>
      <c r="D86" s="491"/>
      <c r="E86" s="492"/>
      <c r="F86" s="439">
        <f>+INDEX($G$186:$G$261,$Z86)</f>
        <v>0</v>
      </c>
      <c r="G86" s="14"/>
      <c r="H86" s="437" t="str">
        <f>+IF(Z86=1,"",VLOOKUP($F86,$B$293:$H$305,3))</f>
        <v/>
      </c>
      <c r="I86" s="447"/>
      <c r="J86" s="440" t="str">
        <f>+IF(Z86=1,"",VLOOKUP($F86,$B$293:$H$305,5))</f>
        <v/>
      </c>
      <c r="K86" s="440" t="str">
        <f>+IF(OR(Z86=1,J86="TBA"),"",J86*I86)</f>
        <v/>
      </c>
      <c r="L86" s="15" t="str">
        <f>+IF(Z86=1,"",VLOOKUP($F86,$B$293:$H$305,6))</f>
        <v/>
      </c>
      <c r="M86" s="441" t="str">
        <f>IF(H86="","","Imp. Area (m2)")</f>
        <v/>
      </c>
      <c r="N86" s="447"/>
      <c r="O86" s="440" t="str">
        <f>+IF(Z86=1,"",VLOOKUP($F86,$B$293:$I$305,8))</f>
        <v/>
      </c>
      <c r="P86" s="440" t="str">
        <f>+IF(OR(Z86=1,O86="TBA"),"",O86*N86)</f>
        <v/>
      </c>
      <c r="V86" s="132" t="str">
        <f>+IF(F86=B221,"Transport charge only applies to High Impact Rural uses","")</f>
        <v/>
      </c>
      <c r="Z86" s="160">
        <v>1</v>
      </c>
    </row>
    <row r="87" spans="1:26" ht="15.75" customHeight="1" x14ac:dyDescent="0.25">
      <c r="A87" s="157"/>
      <c r="C87" s="491"/>
      <c r="D87" s="491"/>
      <c r="E87" s="491"/>
      <c r="F87" s="439">
        <f>+INDEX($G$186:$G$261,$Z87)</f>
        <v>0</v>
      </c>
      <c r="G87" s="14"/>
      <c r="H87" s="441" t="str">
        <f>+IF(Z87=1,"",VLOOKUP($F87,$B$293:$H$305,3))</f>
        <v/>
      </c>
      <c r="I87" s="447"/>
      <c r="J87" s="440" t="str">
        <f>+IF(Z87=1,"",VLOOKUP($F87,$B$293:$H$305,5))</f>
        <v/>
      </c>
      <c r="K87" s="440" t="str">
        <f>+IF(OR(Z87=1,J87="TBA"),"",J87*I87)</f>
        <v/>
      </c>
      <c r="L87" s="15" t="str">
        <f>+IF(Z87=1,"",VLOOKUP($F87,$B$293:$H$305,6))</f>
        <v/>
      </c>
      <c r="M87" s="441" t="str">
        <f>IF(H87="","","Imp. Area (m2)")</f>
        <v/>
      </c>
      <c r="N87" s="447"/>
      <c r="O87" s="440" t="str">
        <f>+IF(Z87=1,"",VLOOKUP($F87,$B$293:$I$305,8))</f>
        <v/>
      </c>
      <c r="P87" s="440" t="str">
        <f>+IF(OR(Z87=1,O87="TBA"),"",O87*N87)</f>
        <v/>
      </c>
      <c r="Z87" s="160">
        <v>1</v>
      </c>
    </row>
    <row r="88" spans="1:26" ht="15.75" customHeight="1" x14ac:dyDescent="0.25">
      <c r="A88" s="157"/>
      <c r="C88" s="491"/>
      <c r="D88" s="491"/>
      <c r="E88" s="491"/>
      <c r="F88" s="439">
        <f>+INDEX($G$186:$G$261,$Z88)</f>
        <v>0</v>
      </c>
      <c r="G88" s="14"/>
      <c r="H88" s="441" t="str">
        <f>+IF(Z88=1,"",VLOOKUP($F88,$B$293:$H$305,3))</f>
        <v/>
      </c>
      <c r="I88" s="447"/>
      <c r="J88" s="440" t="str">
        <f>+IF(Z88=1,"",VLOOKUP($F88,$B$293:$H$305,5))</f>
        <v/>
      </c>
      <c r="K88" s="440" t="str">
        <f>+IF(OR(Z88=1,J88="TBA"),"",J88*I88)</f>
        <v/>
      </c>
      <c r="L88" s="15" t="str">
        <f>+IF(Z88=1,"",VLOOKUP($F88,$B$293:$H$305,6))</f>
        <v/>
      </c>
      <c r="M88" s="441" t="str">
        <f>IF(H88="","","Imp. Area (m2)")</f>
        <v/>
      </c>
      <c r="N88" s="447"/>
      <c r="O88" s="440" t="str">
        <f>+IF(Z88=1,"",VLOOKUP($F88,$B$293:$I$305,8))</f>
        <v/>
      </c>
      <c r="P88" s="440" t="str">
        <f>+IF(OR(Z88=1,O88="TBA"),"",O88*N88)</f>
        <v/>
      </c>
      <c r="Z88" s="160">
        <v>1</v>
      </c>
    </row>
    <row r="89" spans="1:26" ht="15.75" customHeight="1" x14ac:dyDescent="0.25">
      <c r="A89" s="157"/>
      <c r="C89" s="491"/>
      <c r="D89" s="491"/>
      <c r="E89" s="491"/>
      <c r="F89" s="439">
        <f>+INDEX($G$186:$G$261,$Z89)</f>
        <v>0</v>
      </c>
      <c r="G89" s="14"/>
      <c r="H89" s="441" t="str">
        <f>+IF(Z89=1,"",VLOOKUP($F89,$B$293:$H$305,3))</f>
        <v/>
      </c>
      <c r="I89" s="447"/>
      <c r="J89" s="440" t="str">
        <f>+IF(Z89=1,"",VLOOKUP($F89,$B$293:$H$305,5))</f>
        <v/>
      </c>
      <c r="K89" s="440" t="str">
        <f>+IF(OR(Z89=1,J89="TBA"),"",J89*I89)</f>
        <v/>
      </c>
      <c r="L89" s="15" t="str">
        <f>+IF(Z89=1,"",VLOOKUP($F89,$B$293:$H$305,6))</f>
        <v/>
      </c>
      <c r="M89" s="441" t="str">
        <f>IF(H89="","","Imp. Area (m2)")</f>
        <v/>
      </c>
      <c r="N89" s="447"/>
      <c r="O89" s="440" t="str">
        <f>+IF(Z89=1,"",VLOOKUP($F89,$B$293:$I$305,8))</f>
        <v/>
      </c>
      <c r="P89" s="440" t="str">
        <f>+IF(OR(Z89=1,O89="TBA"),"",O89*N89)</f>
        <v/>
      </c>
      <c r="Z89" s="160">
        <v>1</v>
      </c>
    </row>
    <row r="90" spans="1:26" ht="15.75" customHeight="1" x14ac:dyDescent="0.25">
      <c r="A90" s="157"/>
      <c r="C90" s="493"/>
      <c r="D90" s="493"/>
      <c r="E90" s="493"/>
      <c r="F90" s="439">
        <f>+INDEX($G$186:$G$261,$Z90)</f>
        <v>0</v>
      </c>
      <c r="G90" s="14"/>
      <c r="H90" s="441" t="str">
        <f>+IF(Z90=1,"",VLOOKUP($F90,$B$293:$H$305,3))</f>
        <v/>
      </c>
      <c r="I90" s="447"/>
      <c r="J90" s="440" t="str">
        <f>+IF(Z90=1,"",VLOOKUP($F90,$B$293:$H$305,5))</f>
        <v/>
      </c>
      <c r="K90" s="440" t="str">
        <f>+IF(OR(Z90=1,J90="TBA"),"",J90*I90)</f>
        <v/>
      </c>
      <c r="L90" s="15" t="str">
        <f>+IF(Z90=1,"",VLOOKUP($F90,$B$293:$H$305,6))</f>
        <v/>
      </c>
      <c r="M90" s="441" t="str">
        <f>IF(H90="","","Imp. Area (m2)")</f>
        <v/>
      </c>
      <c r="N90" s="447"/>
      <c r="O90" s="440" t="str">
        <f>+IF(Z90=1,"",VLOOKUP($F90,$B$293:$I$305,8))</f>
        <v/>
      </c>
      <c r="P90" s="440" t="str">
        <f>+IF(OR(Z90=1,O90="TBA"),"",O90*N90)</f>
        <v/>
      </c>
      <c r="Z90" s="160">
        <v>1</v>
      </c>
    </row>
    <row r="91" spans="1:26" ht="15.75" customHeight="1" x14ac:dyDescent="0.25">
      <c r="A91" s="157"/>
      <c r="B91" s="448"/>
      <c r="C91" s="449"/>
      <c r="D91" s="449"/>
      <c r="E91" s="450"/>
      <c r="F91" s="451"/>
      <c r="G91" s="452"/>
      <c r="H91" s="453"/>
      <c r="I91" s="447"/>
      <c r="J91" s="454"/>
      <c r="K91" s="440">
        <f>+IF(Z91=1,"",J91*I91)</f>
        <v>0</v>
      </c>
      <c r="L91" s="453"/>
      <c r="M91" s="453"/>
      <c r="N91" s="447"/>
      <c r="O91" s="455"/>
      <c r="P91" s="440">
        <f>+IF(OR(AD91=1,O91="TBA"),"",O91*N91)</f>
        <v>0</v>
      </c>
    </row>
    <row r="92" spans="1:26" ht="15.75" customHeight="1" x14ac:dyDescent="0.25">
      <c r="A92" s="157"/>
      <c r="B92" s="162" t="s">
        <v>305</v>
      </c>
    </row>
    <row r="93" spans="1:26" ht="15.75" customHeight="1" x14ac:dyDescent="0.25">
      <c r="A93" s="157"/>
      <c r="B93" s="162"/>
    </row>
    <row r="94" spans="1:26" ht="15.75" customHeight="1" x14ac:dyDescent="0.25">
      <c r="A94" s="157"/>
    </row>
    <row r="95" spans="1:26" ht="15.75" customHeight="1" x14ac:dyDescent="0.25">
      <c r="A95" s="157" t="s">
        <v>316</v>
      </c>
      <c r="B95" s="159" t="s">
        <v>317</v>
      </c>
    </row>
    <row r="96" spans="1:26" ht="15.75" customHeight="1" x14ac:dyDescent="0.25">
      <c r="A96" s="157"/>
      <c r="B96" s="319" t="s">
        <v>301</v>
      </c>
    </row>
    <row r="97" spans="1:26" ht="25.5" customHeight="1" x14ac:dyDescent="0.25">
      <c r="B97" s="733" t="str">
        <f>+B84</f>
        <v>Planing scheme definition (QPP definition in parenthesis)</v>
      </c>
      <c r="C97" s="734"/>
      <c r="D97" s="734"/>
      <c r="E97" s="735"/>
      <c r="F97" s="733" t="s">
        <v>302</v>
      </c>
      <c r="G97" s="735"/>
      <c r="H97" s="595" t="s">
        <v>308</v>
      </c>
      <c r="I97" s="596"/>
      <c r="J97" s="596"/>
      <c r="K97" s="597"/>
    </row>
    <row r="98" spans="1:26" ht="29.25" customHeight="1" x14ac:dyDescent="0.25">
      <c r="A98" s="157"/>
      <c r="B98" s="752"/>
      <c r="C98" s="753"/>
      <c r="D98" s="753"/>
      <c r="E98" s="754"/>
      <c r="F98" s="752"/>
      <c r="G98" s="754"/>
      <c r="H98" s="346" t="s">
        <v>526</v>
      </c>
      <c r="I98" s="346" t="s">
        <v>525</v>
      </c>
      <c r="J98" s="346" t="s">
        <v>303</v>
      </c>
      <c r="K98" s="346" t="s">
        <v>697</v>
      </c>
    </row>
    <row r="99" spans="1:26" ht="15.75" customHeight="1" x14ac:dyDescent="0.25">
      <c r="A99" s="157"/>
      <c r="C99" s="491"/>
      <c r="D99" s="491"/>
      <c r="E99" s="491"/>
      <c r="F99" s="439">
        <f>+INDEX($G$267:$G$286,$Z99)</f>
        <v>0</v>
      </c>
      <c r="G99" s="14"/>
      <c r="H99" s="441" t="str">
        <f>+IF(Z99=1,"",VLOOKUP($F99,$B$314:$E$317,3))</f>
        <v/>
      </c>
      <c r="I99" s="456"/>
      <c r="J99" s="97" t="str">
        <f>+IF(Z99=1,"",VLOOKUP($F99,$B$314:$F$317,5))</f>
        <v/>
      </c>
      <c r="K99" s="440" t="str">
        <f>+IF(OR(Z99=1,J99="TBA"),"",J99*I99)</f>
        <v/>
      </c>
      <c r="Z99" s="160">
        <v>1</v>
      </c>
    </row>
    <row r="100" spans="1:26" ht="15.75" customHeight="1" x14ac:dyDescent="0.25">
      <c r="A100" s="157"/>
      <c r="C100" s="491"/>
      <c r="D100" s="491"/>
      <c r="E100" s="491"/>
      <c r="F100" s="439">
        <f>+INDEX($G$267:$G$286,$Z100)</f>
        <v>0</v>
      </c>
      <c r="G100" s="14"/>
      <c r="H100" s="441" t="str">
        <f>+IF(Z100=1,"",VLOOKUP($F100,$B$314:$E$317,3))</f>
        <v/>
      </c>
      <c r="I100" s="456"/>
      <c r="J100" s="97" t="str">
        <f>+IF(Z100=1,"",VLOOKUP($F100,$B$314:$F$317,5))</f>
        <v/>
      </c>
      <c r="K100" s="440" t="str">
        <f>+IF(OR(Z100=1,J100="TBA"),"",J100*I100)</f>
        <v/>
      </c>
      <c r="Z100" s="160">
        <v>1</v>
      </c>
    </row>
    <row r="101" spans="1:26" ht="15.75" customHeight="1" x14ac:dyDescent="0.25">
      <c r="A101" s="157"/>
      <c r="C101" s="491"/>
      <c r="D101" s="491"/>
      <c r="E101" s="491"/>
      <c r="F101" s="439">
        <f>+INDEX($G$267:$G$286,$Z101)</f>
        <v>0</v>
      </c>
      <c r="G101" s="14"/>
      <c r="H101" s="441" t="str">
        <f>+IF(Z101=1,"",VLOOKUP($F101,$B$314:$E$317,3))</f>
        <v/>
      </c>
      <c r="I101" s="456"/>
      <c r="J101" s="97" t="str">
        <f>+IF(Z101=1,"",VLOOKUP($F101,$B$314:$F$317,5))</f>
        <v/>
      </c>
      <c r="K101" s="440" t="str">
        <f>+IF(OR(Z101=1,J101="TBA"),"",J101*I101)</f>
        <v/>
      </c>
      <c r="Z101" s="160">
        <v>1</v>
      </c>
    </row>
    <row r="102" spans="1:26" ht="15.75" customHeight="1" x14ac:dyDescent="0.25">
      <c r="A102" s="157"/>
      <c r="C102" s="491"/>
      <c r="D102" s="491"/>
      <c r="E102" s="491"/>
      <c r="F102" s="439">
        <f>+INDEX($G$267:$G$286,$Z102)</f>
        <v>0</v>
      </c>
      <c r="G102" s="14"/>
      <c r="H102" s="441" t="str">
        <f>+IF(Z102=1,"",VLOOKUP($F102,$B$314:$E$317,3))</f>
        <v/>
      </c>
      <c r="I102" s="456"/>
      <c r="J102" s="97" t="str">
        <f>+IF(Z102=1,"",VLOOKUP($F102,$B$314:$F$317,5))</f>
        <v/>
      </c>
      <c r="K102" s="440" t="str">
        <f>+IF(OR(Z102=1,J102="TBA"),"",J102*I102)</f>
        <v/>
      </c>
      <c r="Z102" s="160">
        <v>1</v>
      </c>
    </row>
    <row r="103" spans="1:26" ht="15.75" customHeight="1" x14ac:dyDescent="0.25">
      <c r="C103" s="491"/>
      <c r="D103" s="491"/>
      <c r="E103" s="491"/>
      <c r="F103" s="439">
        <f>+INDEX($G$267:$G$286,$Z103)</f>
        <v>0</v>
      </c>
      <c r="G103" s="14"/>
      <c r="H103" s="441" t="str">
        <f>+IF(Z103=1,"",VLOOKUP($F103,$B$314:$E$317,3))</f>
        <v/>
      </c>
      <c r="I103" s="456"/>
      <c r="J103" s="97" t="str">
        <f>+IF(Z103=1,"",VLOOKUP($F103,$B$314:$F$317,5))</f>
        <v/>
      </c>
      <c r="K103" s="440" t="str">
        <f>+IF(OR(Z103=1,J103="TBA"),"",J103*I103)</f>
        <v/>
      </c>
      <c r="Z103" s="160">
        <v>1</v>
      </c>
    </row>
    <row r="104" spans="1:26" ht="15.75" customHeight="1" x14ac:dyDescent="0.25">
      <c r="B104" s="448"/>
      <c r="C104" s="449"/>
      <c r="D104" s="449"/>
      <c r="E104" s="450"/>
      <c r="F104" s="451"/>
      <c r="G104" s="452"/>
      <c r="H104" s="453"/>
      <c r="I104" s="456"/>
      <c r="J104" s="454"/>
      <c r="K104" s="440" t="str">
        <f>+IF(Z104=1,"",J104*I104)</f>
        <v/>
      </c>
      <c r="Z104" s="160">
        <v>1</v>
      </c>
    </row>
    <row r="105" spans="1:26" ht="15.75" customHeight="1" x14ac:dyDescent="0.25">
      <c r="A105" s="157"/>
      <c r="B105" s="162" t="s">
        <v>305</v>
      </c>
    </row>
    <row r="106" spans="1:26" ht="15.75" customHeight="1" x14ac:dyDescent="0.25">
      <c r="A106" s="157"/>
      <c r="B106" s="162"/>
    </row>
    <row r="107" spans="1:26" ht="15.75" customHeight="1" x14ac:dyDescent="0.25">
      <c r="A107" s="157"/>
      <c r="B107" s="162"/>
    </row>
    <row r="108" spans="1:26" ht="15.75" customHeight="1" x14ac:dyDescent="0.25">
      <c r="A108" s="157"/>
      <c r="B108" s="162"/>
      <c r="Q108" s="494"/>
      <c r="R108" s="494"/>
      <c r="S108" s="494"/>
      <c r="T108" s="494"/>
      <c r="U108" s="494"/>
    </row>
    <row r="109" spans="1:26" ht="15.75" customHeight="1" x14ac:dyDescent="0.25">
      <c r="A109" s="157"/>
    </row>
    <row r="110" spans="1:26" ht="15.75" customHeight="1" x14ac:dyDescent="0.25">
      <c r="A110" s="157" t="s">
        <v>318</v>
      </c>
      <c r="B110" s="159" t="s">
        <v>319</v>
      </c>
    </row>
    <row r="111" spans="1:26" ht="15.75" customHeight="1" x14ac:dyDescent="0.25">
      <c r="A111" s="157"/>
      <c r="B111" s="443" t="s">
        <v>320</v>
      </c>
      <c r="C111" s="444"/>
      <c r="D111" s="6"/>
      <c r="E111" s="346" t="s">
        <v>293</v>
      </c>
      <c r="F111" s="346" t="s">
        <v>291</v>
      </c>
      <c r="G111" s="346" t="s">
        <v>292</v>
      </c>
      <c r="H111" s="346" t="s">
        <v>290</v>
      </c>
      <c r="I111" s="346" t="s">
        <v>294</v>
      </c>
      <c r="J111" s="346" t="s">
        <v>211</v>
      </c>
    </row>
    <row r="112" spans="1:26" ht="15.75" customHeight="1" x14ac:dyDescent="0.25">
      <c r="A112" s="157"/>
      <c r="B112" s="445" t="s">
        <v>311</v>
      </c>
      <c r="C112" s="188"/>
      <c r="D112" s="189"/>
      <c r="E112" s="298"/>
      <c r="F112" s="446"/>
      <c r="G112" s="446"/>
      <c r="H112" s="446"/>
      <c r="I112" s="298"/>
      <c r="J112" s="298"/>
    </row>
    <row r="113" spans="1:10" ht="15.75" customHeight="1" x14ac:dyDescent="0.25">
      <c r="A113" s="157"/>
      <c r="B113" s="187" t="str">
        <f>+IF(Z86=1,"",INDEX($B$186:$B$261,Z86))</f>
        <v/>
      </c>
      <c r="C113" s="188"/>
      <c r="D113" s="189"/>
      <c r="E113" s="298" t="str">
        <f t="shared" ref="E113:F117" si="7">+IF($K86="","",IF($F86=$B$175,0,VLOOKUP(E$63,$B$19:$C$22,2)*$K86))</f>
        <v/>
      </c>
      <c r="F113" s="446" t="str">
        <f t="shared" si="7"/>
        <v/>
      </c>
      <c r="G113" s="446" t="str">
        <f>+IF($K86="","",IF($F86=$B$175,K86,VLOOKUP(G$63,$B$19:$C$22,2)*$K86))</f>
        <v/>
      </c>
      <c r="H113" s="446" t="str">
        <f>+IF($K86="","",IF($F86=$B$175,0,VLOOKUP(H$63,$B$19:$C$22,2)*$K86))</f>
        <v/>
      </c>
      <c r="I113" s="298" t="str">
        <f>+P86</f>
        <v/>
      </c>
      <c r="J113" s="298">
        <f>SUM(E113:I113)</f>
        <v>0</v>
      </c>
    </row>
    <row r="114" spans="1:10" ht="15.75" customHeight="1" x14ac:dyDescent="0.25">
      <c r="A114" s="157"/>
      <c r="B114" s="187" t="str">
        <f>+IF(Z87=1,"",INDEX($B$186:$B$261,Z87))</f>
        <v/>
      </c>
      <c r="C114" s="188"/>
      <c r="D114" s="189"/>
      <c r="E114" s="298" t="str">
        <f t="shared" si="7"/>
        <v/>
      </c>
      <c r="F114" s="446" t="str">
        <f t="shared" si="7"/>
        <v/>
      </c>
      <c r="G114" s="446" t="str">
        <f>+IF($K87="","",IF($F87=$B$175,K87,VLOOKUP(G$63,$B$19:$C$22,2)*$K87))</f>
        <v/>
      </c>
      <c r="H114" s="446" t="str">
        <f>+IF($K87="","",IF($F87=$B$175,0,VLOOKUP(H$63,$B$19:$C$22,2)*$K87))</f>
        <v/>
      </c>
      <c r="I114" s="298" t="str">
        <f>+P87</f>
        <v/>
      </c>
      <c r="J114" s="298">
        <f t="shared" ref="J114:J124" si="8">SUM(E114:I114)</f>
        <v>0</v>
      </c>
    </row>
    <row r="115" spans="1:10" ht="15.75" customHeight="1" x14ac:dyDescent="0.25">
      <c r="A115" s="157"/>
      <c r="B115" s="187" t="str">
        <f>+IF(Z88=1,"",INDEX($B$186:$B$261,Z88))</f>
        <v/>
      </c>
      <c r="C115" s="188"/>
      <c r="D115" s="189"/>
      <c r="E115" s="298" t="str">
        <f t="shared" si="7"/>
        <v/>
      </c>
      <c r="F115" s="446" t="str">
        <f t="shared" si="7"/>
        <v/>
      </c>
      <c r="G115" s="446" t="str">
        <f>+IF($K88="","",IF($F88=$B$175,K88,VLOOKUP(G$63,$B$19:$C$22,2)*$K88))</f>
        <v/>
      </c>
      <c r="H115" s="446" t="str">
        <f>+IF($K88="","",IF($F88=$B$175,0,VLOOKUP(H$63,$B$19:$C$22,2)*$K88))</f>
        <v/>
      </c>
      <c r="I115" s="298" t="str">
        <f>+P88</f>
        <v/>
      </c>
      <c r="J115" s="298">
        <f t="shared" si="8"/>
        <v>0</v>
      </c>
    </row>
    <row r="116" spans="1:10" ht="15.75" customHeight="1" x14ac:dyDescent="0.25">
      <c r="A116" s="157"/>
      <c r="B116" s="187" t="str">
        <f>+IF(Z89=1,"",INDEX($B$186:$B$261,Z89))</f>
        <v/>
      </c>
      <c r="C116" s="188"/>
      <c r="D116" s="189"/>
      <c r="E116" s="298" t="str">
        <f t="shared" si="7"/>
        <v/>
      </c>
      <c r="F116" s="446" t="str">
        <f t="shared" si="7"/>
        <v/>
      </c>
      <c r="G116" s="446" t="str">
        <f>+IF($K89="","",IF($F89=$B$175,K89,VLOOKUP(G$63,$B$19:$C$22,2)*$K89))</f>
        <v/>
      </c>
      <c r="H116" s="446" t="str">
        <f>+IF($K89="","",IF($F89=$B$175,0,VLOOKUP(H$63,$B$19:$C$22,2)*$K89))</f>
        <v/>
      </c>
      <c r="I116" s="298" t="str">
        <f>+P89</f>
        <v/>
      </c>
      <c r="J116" s="298">
        <f t="shared" si="8"/>
        <v>0</v>
      </c>
    </row>
    <row r="117" spans="1:10" ht="15.75" customHeight="1" x14ac:dyDescent="0.25">
      <c r="A117" s="157"/>
      <c r="B117" s="187" t="str">
        <f>+IF(Z90=1,"",INDEX($B$186:$B$261,Z90))</f>
        <v/>
      </c>
      <c r="C117" s="188"/>
      <c r="D117" s="189"/>
      <c r="E117" s="298" t="str">
        <f t="shared" si="7"/>
        <v/>
      </c>
      <c r="F117" s="446" t="str">
        <f t="shared" si="7"/>
        <v/>
      </c>
      <c r="G117" s="446" t="str">
        <f>+IF($K90="","",IF($F90=$B$175,K90,VLOOKUP(G$63,$B$19:$C$22,2)*$K90))</f>
        <v/>
      </c>
      <c r="H117" s="446" t="str">
        <f>+IF($K90="","",IF($F90=$B$175,0,VLOOKUP(H$63,$B$19:$C$22,2)*$K90))</f>
        <v/>
      </c>
      <c r="I117" s="298" t="str">
        <f>+P90</f>
        <v/>
      </c>
      <c r="J117" s="298">
        <f t="shared" si="8"/>
        <v>0</v>
      </c>
    </row>
    <row r="118" spans="1:10" ht="15.75" customHeight="1" x14ac:dyDescent="0.25">
      <c r="A118" s="157"/>
      <c r="B118" s="187" t="str">
        <f>+IF(B91="","",B91)</f>
        <v/>
      </c>
      <c r="C118" s="188"/>
      <c r="D118" s="189"/>
      <c r="E118" s="298"/>
      <c r="F118" s="446"/>
      <c r="G118" s="446"/>
      <c r="H118" s="446"/>
      <c r="I118" s="298"/>
      <c r="J118" s="298"/>
    </row>
    <row r="119" spans="1:10" ht="15.75" customHeight="1" x14ac:dyDescent="0.25">
      <c r="A119" s="157"/>
      <c r="B119" s="501" t="s">
        <v>312</v>
      </c>
      <c r="C119" s="190"/>
      <c r="D119" s="191"/>
      <c r="E119" s="487"/>
      <c r="F119" s="462"/>
      <c r="G119" s="462"/>
      <c r="H119" s="462"/>
      <c r="I119" s="487"/>
      <c r="J119" s="487">
        <f t="shared" si="8"/>
        <v>0</v>
      </c>
    </row>
    <row r="120" spans="1:10" ht="15.75" customHeight="1" x14ac:dyDescent="0.25">
      <c r="A120" s="157"/>
      <c r="B120" s="187" t="str">
        <f>+IF(Z99=1,"",INDEX($B$267:$B$286,Z99))</f>
        <v/>
      </c>
      <c r="C120" s="188"/>
      <c r="D120" s="189"/>
      <c r="E120" s="298" t="str">
        <f t="shared" ref="E120:I125" si="9">+IF($K99="","",VLOOKUP(E111,$B$28:$C$32,2)*$K99)</f>
        <v/>
      </c>
      <c r="F120" s="298" t="str">
        <f t="shared" si="9"/>
        <v/>
      </c>
      <c r="G120" s="298" t="str">
        <f t="shared" si="9"/>
        <v/>
      </c>
      <c r="H120" s="298" t="str">
        <f t="shared" si="9"/>
        <v/>
      </c>
      <c r="I120" s="298" t="str">
        <f t="shared" si="9"/>
        <v/>
      </c>
      <c r="J120" s="298">
        <f t="shared" si="8"/>
        <v>0</v>
      </c>
    </row>
    <row r="121" spans="1:10" ht="15.75" customHeight="1" x14ac:dyDescent="0.25">
      <c r="A121" s="157"/>
      <c r="B121" s="187" t="str">
        <f>+IF(Z100=1,"",INDEX($B$267:$B$286,Z100))</f>
        <v/>
      </c>
      <c r="C121" s="188"/>
      <c r="D121" s="189"/>
      <c r="E121" s="298" t="str">
        <f t="shared" si="9"/>
        <v/>
      </c>
      <c r="F121" s="298" t="str">
        <f t="shared" si="9"/>
        <v/>
      </c>
      <c r="G121" s="298" t="str">
        <f t="shared" si="9"/>
        <v/>
      </c>
      <c r="H121" s="298" t="str">
        <f t="shared" si="9"/>
        <v/>
      </c>
      <c r="I121" s="298" t="str">
        <f t="shared" si="9"/>
        <v/>
      </c>
      <c r="J121" s="298">
        <f t="shared" si="8"/>
        <v>0</v>
      </c>
    </row>
    <row r="122" spans="1:10" ht="15.75" customHeight="1" x14ac:dyDescent="0.25">
      <c r="A122" s="157"/>
      <c r="B122" s="187" t="str">
        <f>+IF(Z101=1,"",INDEX($B$267:$B$286,Z101))</f>
        <v/>
      </c>
      <c r="C122" s="188"/>
      <c r="D122" s="189"/>
      <c r="E122" s="298" t="str">
        <f t="shared" si="9"/>
        <v/>
      </c>
      <c r="F122" s="298" t="str">
        <f t="shared" si="9"/>
        <v/>
      </c>
      <c r="G122" s="298" t="str">
        <f t="shared" si="9"/>
        <v/>
      </c>
      <c r="H122" s="298" t="str">
        <f t="shared" si="9"/>
        <v/>
      </c>
      <c r="I122" s="298" t="str">
        <f t="shared" si="9"/>
        <v/>
      </c>
      <c r="J122" s="298">
        <f t="shared" si="8"/>
        <v>0</v>
      </c>
    </row>
    <row r="123" spans="1:10" ht="15.75" customHeight="1" x14ac:dyDescent="0.25">
      <c r="A123" s="157"/>
      <c r="B123" s="187" t="str">
        <f>+IF(Z102=1,"",INDEX($B$267:$B$286,Z102))</f>
        <v/>
      </c>
      <c r="C123" s="188"/>
      <c r="D123" s="189"/>
      <c r="E123" s="298" t="str">
        <f t="shared" si="9"/>
        <v/>
      </c>
      <c r="F123" s="298" t="str">
        <f t="shared" si="9"/>
        <v/>
      </c>
      <c r="G123" s="298" t="str">
        <f t="shared" si="9"/>
        <v/>
      </c>
      <c r="H123" s="298" t="str">
        <f t="shared" si="9"/>
        <v/>
      </c>
      <c r="I123" s="298" t="str">
        <f t="shared" si="9"/>
        <v/>
      </c>
      <c r="J123" s="298">
        <f t="shared" si="8"/>
        <v>0</v>
      </c>
    </row>
    <row r="124" spans="1:10" ht="15.75" customHeight="1" x14ac:dyDescent="0.25">
      <c r="A124" s="157"/>
      <c r="B124" s="187" t="str">
        <f>+IF(Z103=1,"",INDEX($B$267:$B$286,Z103))</f>
        <v/>
      </c>
      <c r="C124" s="188"/>
      <c r="D124" s="189"/>
      <c r="E124" s="298" t="str">
        <f t="shared" si="9"/>
        <v/>
      </c>
      <c r="F124" s="298" t="str">
        <f t="shared" si="9"/>
        <v/>
      </c>
      <c r="G124" s="298" t="str">
        <f t="shared" si="9"/>
        <v/>
      </c>
      <c r="H124" s="298" t="str">
        <f t="shared" si="9"/>
        <v/>
      </c>
      <c r="I124" s="298" t="str">
        <f t="shared" si="9"/>
        <v/>
      </c>
      <c r="J124" s="298">
        <f t="shared" si="8"/>
        <v>0</v>
      </c>
    </row>
    <row r="125" spans="1:10" ht="15.75" customHeight="1" x14ac:dyDescent="0.25">
      <c r="A125" s="157"/>
      <c r="B125" s="107" t="str">
        <f>+IF(B104="","",B104)</f>
        <v/>
      </c>
      <c r="C125" s="190"/>
      <c r="D125" s="191"/>
      <c r="E125" s="298" t="str">
        <f t="shared" si="9"/>
        <v/>
      </c>
      <c r="F125" s="298" t="str">
        <f t="shared" si="9"/>
        <v/>
      </c>
      <c r="G125" s="298" t="str">
        <f t="shared" si="9"/>
        <v/>
      </c>
      <c r="H125" s="298" t="str">
        <f t="shared" si="9"/>
        <v/>
      </c>
      <c r="I125" s="298" t="str">
        <f t="shared" si="9"/>
        <v/>
      </c>
      <c r="J125" s="298" t="str">
        <f>+IF($K104="","",VLOOKUP(J116,$B$28:$C$32,2)*$K104)</f>
        <v/>
      </c>
    </row>
    <row r="126" spans="1:10" ht="15.75" customHeight="1" x14ac:dyDescent="0.25">
      <c r="A126" s="157"/>
      <c r="B126" s="12" t="s">
        <v>211</v>
      </c>
      <c r="C126" s="13"/>
      <c r="D126" s="14"/>
      <c r="E126" s="9">
        <f t="shared" ref="E126:J126" si="10">SUM(E112:E125)</f>
        <v>0</v>
      </c>
      <c r="F126" s="9">
        <f t="shared" si="10"/>
        <v>0</v>
      </c>
      <c r="G126" s="9">
        <f t="shared" si="10"/>
        <v>0</v>
      </c>
      <c r="H126" s="9">
        <f t="shared" si="10"/>
        <v>0</v>
      </c>
      <c r="I126" s="9">
        <f t="shared" si="10"/>
        <v>0</v>
      </c>
      <c r="J126" s="9">
        <f t="shared" si="10"/>
        <v>0</v>
      </c>
    </row>
    <row r="127" spans="1:10" ht="15.75" customHeight="1" x14ac:dyDescent="0.25">
      <c r="A127" s="157"/>
    </row>
    <row r="128" spans="1:10" ht="15.75" customHeight="1" x14ac:dyDescent="0.25">
      <c r="A128" s="157"/>
    </row>
    <row r="129" spans="1:10" ht="15.75" customHeight="1" x14ac:dyDescent="0.25">
      <c r="A129" s="157"/>
    </row>
    <row r="130" spans="1:10" ht="15.75" customHeight="1" x14ac:dyDescent="0.25"/>
    <row r="131" spans="1:10" ht="15.75" customHeight="1" collapsed="1" x14ac:dyDescent="0.25">
      <c r="A131" s="157" t="s">
        <v>532</v>
      </c>
      <c r="B131" s="159" t="s">
        <v>321</v>
      </c>
      <c r="H131" s="170"/>
    </row>
    <row r="132" spans="1:10" ht="15.75" customHeight="1" x14ac:dyDescent="0.25">
      <c r="A132" s="157"/>
      <c r="B132" s="176" t="s">
        <v>322</v>
      </c>
      <c r="H132" s="170"/>
    </row>
    <row r="133" spans="1:10" ht="15.75" customHeight="1" x14ac:dyDescent="0.25">
      <c r="A133" s="157"/>
      <c r="B133" s="135" t="s">
        <v>323</v>
      </c>
      <c r="C133" s="132" t="str">
        <f>+IF(AND(Z10=TRUE,Z11=TRUE,Z12=TRUE,Z13=TRUE,Z14=TRUE),"OK","Not all criteria have been met")</f>
        <v>Not all criteria have been met</v>
      </c>
      <c r="H133" s="170"/>
    </row>
    <row r="134" spans="1:10" ht="15.75" customHeight="1" x14ac:dyDescent="0.25">
      <c r="A134" s="157"/>
      <c r="H134" s="170"/>
    </row>
    <row r="135" spans="1:10" ht="38.25" customHeight="1" x14ac:dyDescent="0.25">
      <c r="A135" s="157"/>
      <c r="B135" s="457" t="s">
        <v>288</v>
      </c>
      <c r="C135" s="457" t="s">
        <v>324</v>
      </c>
      <c r="D135" s="457" t="s">
        <v>325</v>
      </c>
      <c r="E135" s="457" t="s">
        <v>326</v>
      </c>
    </row>
    <row r="136" spans="1:10" ht="15.75" customHeight="1" x14ac:dyDescent="0.25">
      <c r="A136" s="157"/>
      <c r="B136" s="20" t="s">
        <v>293</v>
      </c>
      <c r="C136" s="407">
        <f>MAX(0,E$78-E$126)</f>
        <v>0</v>
      </c>
      <c r="D136" s="407">
        <f>+Summary!P26+Summary!P27+Summary!P28+Summary!P29</f>
        <v>0</v>
      </c>
      <c r="E136" s="458">
        <f>+IF($C$133="OK",MAX(0,D136-C136),0)</f>
        <v>0</v>
      </c>
      <c r="J136" s="174"/>
    </row>
    <row r="137" spans="1:10" ht="15.75" customHeight="1" x14ac:dyDescent="0.4">
      <c r="A137" s="157"/>
      <c r="B137" s="187" t="s">
        <v>291</v>
      </c>
      <c r="C137" s="459">
        <f>+MAX(0,F$78-F$126)</f>
        <v>0</v>
      </c>
      <c r="D137" s="459">
        <f>+Summary!P23+Summary!P24</f>
        <v>0</v>
      </c>
      <c r="E137" s="446">
        <f>+IF($C$133="OK",MAX(0,D137-C137),0)</f>
        <v>0</v>
      </c>
      <c r="F137" s="175"/>
      <c r="G137" s="176"/>
      <c r="J137" s="174"/>
    </row>
    <row r="138" spans="1:10" ht="15.75" customHeight="1" x14ac:dyDescent="0.4">
      <c r="A138" s="157"/>
      <c r="B138" s="187" t="s">
        <v>292</v>
      </c>
      <c r="C138" s="459">
        <f>+MAX(0,G$78-G$126)</f>
        <v>0</v>
      </c>
      <c r="D138" s="459">
        <f>Summary!P32+Summary!P34+Summary!P35</f>
        <v>0</v>
      </c>
      <c r="E138" s="446">
        <f>+IF($C$133="OK",MAX(0,D138-C138),0)</f>
        <v>0</v>
      </c>
      <c r="F138" s="175"/>
      <c r="G138" s="176"/>
      <c r="J138" s="174"/>
    </row>
    <row r="139" spans="1:10" ht="15.75" customHeight="1" x14ac:dyDescent="0.4">
      <c r="A139" s="157"/>
      <c r="B139" s="187" t="s">
        <v>290</v>
      </c>
      <c r="C139" s="459">
        <f>+MAX(0,H$78-H$126)</f>
        <v>0</v>
      </c>
      <c r="D139" s="459">
        <f>+Summary!P30</f>
        <v>0</v>
      </c>
      <c r="E139" s="446">
        <f>+IF($C$133="OK",MAX(0,D139-C139),0)</f>
        <v>0</v>
      </c>
      <c r="F139" s="175"/>
      <c r="G139" s="176"/>
      <c r="J139" s="174"/>
    </row>
    <row r="140" spans="1:10" ht="15.75" customHeight="1" x14ac:dyDescent="0.4">
      <c r="A140" s="157"/>
      <c r="B140" s="187" t="s">
        <v>294</v>
      </c>
      <c r="C140" s="504">
        <f>+MAX(0,I$78-I$126)</f>
        <v>0</v>
      </c>
      <c r="D140" s="504">
        <f>+Summary!P38</f>
        <v>0</v>
      </c>
      <c r="E140" s="460">
        <f>+IF($C$133="OK",MAX(0,D140-C140),0)</f>
        <v>0</v>
      </c>
      <c r="F140" s="175"/>
      <c r="G140" s="176"/>
      <c r="J140" s="174"/>
    </row>
    <row r="141" spans="1:10" ht="15.75" customHeight="1" x14ac:dyDescent="0.4">
      <c r="A141" s="157"/>
      <c r="B141" s="107"/>
      <c r="C141" s="461"/>
      <c r="D141" s="461"/>
      <c r="E141" s="505">
        <f>SUM(E136:E140)</f>
        <v>0</v>
      </c>
      <c r="F141" s="494"/>
      <c r="G141" s="176"/>
      <c r="J141" s="174"/>
    </row>
    <row r="142" spans="1:10" ht="15.75" customHeight="1" x14ac:dyDescent="0.4">
      <c r="A142" s="157"/>
      <c r="B142" s="132" t="str">
        <f>+"All values in $ "&amp;Summary!D14</f>
        <v>All values in $ 45627</v>
      </c>
      <c r="C142" s="175"/>
      <c r="D142" s="175"/>
      <c r="E142" s="175"/>
      <c r="F142" s="175"/>
      <c r="G142" s="176"/>
      <c r="J142" s="174"/>
    </row>
    <row r="143" spans="1:10" ht="15.75" customHeight="1" x14ac:dyDescent="0.4">
      <c r="A143" s="157"/>
      <c r="C143" s="175"/>
      <c r="D143" s="175"/>
      <c r="E143" s="175"/>
      <c r="F143" s="175"/>
      <c r="G143" s="176"/>
      <c r="J143" s="174"/>
    </row>
    <row r="144" spans="1:10" ht="15.75" customHeight="1" x14ac:dyDescent="0.4">
      <c r="A144" s="157"/>
      <c r="C144" s="175"/>
      <c r="D144" s="175"/>
      <c r="E144" s="175"/>
      <c r="F144" s="175"/>
      <c r="G144" s="176"/>
      <c r="J144" s="174"/>
    </row>
    <row r="145" spans="1:10" ht="15.75" customHeight="1" x14ac:dyDescent="0.4">
      <c r="A145" s="157"/>
      <c r="C145" s="175"/>
      <c r="D145" s="175"/>
      <c r="E145" s="175"/>
      <c r="F145" s="175"/>
      <c r="G145" s="176"/>
      <c r="J145" s="174"/>
    </row>
    <row r="146" spans="1:10" ht="15.75" customHeight="1" x14ac:dyDescent="0.4">
      <c r="A146" s="157"/>
      <c r="C146" s="175"/>
      <c r="D146" s="175"/>
      <c r="E146" s="175"/>
      <c r="F146" s="175"/>
      <c r="G146" s="176"/>
      <c r="J146" s="174"/>
    </row>
    <row r="147" spans="1:10" ht="15.75" customHeight="1" x14ac:dyDescent="0.4">
      <c r="A147" s="157"/>
      <c r="C147" s="175"/>
      <c r="D147" s="175"/>
      <c r="E147" s="175"/>
      <c r="F147" s="175"/>
      <c r="G147" s="176"/>
      <c r="J147" s="174"/>
    </row>
    <row r="148" spans="1:10" ht="15.75" customHeight="1" x14ac:dyDescent="0.4">
      <c r="A148" s="157"/>
      <c r="C148" s="175"/>
      <c r="D148" s="175"/>
      <c r="E148" s="175"/>
      <c r="F148" s="175"/>
      <c r="G148" s="176"/>
      <c r="J148" s="174"/>
    </row>
    <row r="149" spans="1:10" ht="15.75" customHeight="1" x14ac:dyDescent="0.4">
      <c r="A149" s="157"/>
      <c r="C149" s="175"/>
      <c r="E149" s="175"/>
      <c r="F149" s="175"/>
      <c r="G149" s="176"/>
      <c r="J149" s="174"/>
    </row>
    <row r="150" spans="1:10" ht="15.75" customHeight="1" x14ac:dyDescent="0.4">
      <c r="A150" s="157"/>
      <c r="C150" s="175"/>
      <c r="E150" s="175"/>
      <c r="F150" s="175"/>
      <c r="G150" s="176"/>
      <c r="J150" s="174"/>
    </row>
    <row r="151" spans="1:10" ht="15.75" customHeight="1" x14ac:dyDescent="0.4">
      <c r="A151" s="157"/>
      <c r="C151" s="175"/>
      <c r="D151" s="175"/>
      <c r="E151" s="175"/>
      <c r="F151" s="175"/>
      <c r="G151" s="176"/>
      <c r="J151" s="174"/>
    </row>
    <row r="152" spans="1:10" ht="15.75" customHeight="1" x14ac:dyDescent="0.4">
      <c r="A152" s="157"/>
      <c r="C152" s="175"/>
      <c r="D152" s="175"/>
      <c r="E152" s="175"/>
      <c r="F152" s="175"/>
      <c r="G152" s="176"/>
      <c r="J152" s="174"/>
    </row>
    <row r="153" spans="1:10" ht="15.75" customHeight="1" x14ac:dyDescent="0.4">
      <c r="A153" s="157"/>
      <c r="C153" s="175"/>
      <c r="D153" s="175"/>
      <c r="E153" s="175"/>
      <c r="F153" s="175"/>
      <c r="G153" s="176"/>
      <c r="J153" s="174"/>
    </row>
    <row r="154" spans="1:10" ht="15.75" customHeight="1" x14ac:dyDescent="0.4">
      <c r="A154" s="157"/>
      <c r="C154" s="175"/>
      <c r="D154" s="175"/>
      <c r="E154" s="175"/>
      <c r="F154" s="175"/>
      <c r="G154" s="176"/>
      <c r="J154" s="174"/>
    </row>
    <row r="155" spans="1:10" ht="15.75" customHeight="1" x14ac:dyDescent="0.4">
      <c r="A155" s="157"/>
      <c r="C155" s="175"/>
      <c r="D155" s="175"/>
      <c r="E155" s="175"/>
      <c r="F155" s="175"/>
      <c r="G155" s="176"/>
      <c r="J155" s="174"/>
    </row>
    <row r="156" spans="1:10" ht="15.75" customHeight="1" x14ac:dyDescent="0.4">
      <c r="A156" s="157"/>
      <c r="C156" s="175"/>
      <c r="D156" s="175"/>
      <c r="E156" s="175"/>
      <c r="F156" s="175"/>
      <c r="G156" s="176"/>
      <c r="J156" s="174"/>
    </row>
    <row r="157" spans="1:10" ht="15.75" customHeight="1" x14ac:dyDescent="0.4">
      <c r="A157" s="157"/>
      <c r="C157" s="175"/>
      <c r="E157" s="175"/>
      <c r="F157" s="175"/>
      <c r="G157" s="176"/>
      <c r="J157" s="174"/>
    </row>
    <row r="158" spans="1:10" ht="15.75" customHeight="1" x14ac:dyDescent="0.4">
      <c r="A158" s="157"/>
      <c r="C158" s="175"/>
      <c r="E158" s="175"/>
      <c r="F158" s="175"/>
      <c r="G158" s="176"/>
      <c r="J158" s="174"/>
    </row>
    <row r="159" spans="1:10" ht="15.75" customHeight="1" x14ac:dyDescent="0.4">
      <c r="A159" s="157"/>
      <c r="C159" s="175"/>
      <c r="D159" s="175"/>
      <c r="E159" s="175"/>
      <c r="F159" s="175"/>
      <c r="G159" s="176"/>
      <c r="J159" s="174"/>
    </row>
    <row r="160" spans="1:10" ht="15.75" customHeight="1" x14ac:dyDescent="0.4">
      <c r="A160" s="157"/>
      <c r="C160" s="175"/>
      <c r="D160" s="175"/>
      <c r="E160" s="175"/>
      <c r="F160" s="175"/>
      <c r="G160" s="176"/>
      <c r="J160" s="174"/>
    </row>
    <row r="161" spans="1:10" ht="15.75" customHeight="1" x14ac:dyDescent="0.4">
      <c r="A161" s="157"/>
      <c r="C161" s="175"/>
      <c r="D161" s="175"/>
      <c r="E161" s="175"/>
      <c r="F161" s="175"/>
      <c r="G161" s="176"/>
      <c r="J161" s="174"/>
    </row>
    <row r="162" spans="1:10" ht="15.75" customHeight="1" x14ac:dyDescent="0.4">
      <c r="A162" s="157">
        <v>6</v>
      </c>
      <c r="B162" s="159" t="s">
        <v>327</v>
      </c>
      <c r="C162" s="175"/>
      <c r="D162" s="175"/>
      <c r="E162" s="175"/>
      <c r="F162" s="175"/>
      <c r="G162" s="176"/>
      <c r="J162" s="174"/>
    </row>
    <row r="163" spans="1:10" ht="15.75" customHeight="1" x14ac:dyDescent="0.4">
      <c r="A163" s="157"/>
      <c r="C163" s="175"/>
      <c r="D163" s="175"/>
      <c r="E163" s="175"/>
      <c r="F163" s="175"/>
      <c r="G163" s="176"/>
      <c r="J163" s="174"/>
    </row>
    <row r="164" spans="1:10" ht="15.75" customHeight="1" x14ac:dyDescent="0.25">
      <c r="B164" s="132" t="s">
        <v>328</v>
      </c>
      <c r="C164" s="174"/>
      <c r="D164" s="174"/>
      <c r="E164" s="174"/>
      <c r="F164" s="174"/>
      <c r="G164" s="250"/>
      <c r="H164" s="250"/>
    </row>
    <row r="165" spans="1:10" ht="15.75" customHeight="1" x14ac:dyDescent="0.25">
      <c r="B165" s="463" t="s">
        <v>790</v>
      </c>
      <c r="C165" s="464"/>
      <c r="D165" s="174"/>
      <c r="E165" s="174"/>
      <c r="F165" s="174"/>
      <c r="G165" s="250"/>
      <c r="H165" s="250"/>
    </row>
    <row r="166" spans="1:10" ht="15.75" customHeight="1" x14ac:dyDescent="0.25">
      <c r="B166" s="187"/>
      <c r="C166" s="465"/>
      <c r="D166" s="174"/>
      <c r="E166" s="174"/>
      <c r="F166" s="174"/>
      <c r="G166" s="250"/>
      <c r="H166" s="250"/>
    </row>
    <row r="167" spans="1:10" ht="15.75" customHeight="1" x14ac:dyDescent="0.25">
      <c r="B167" s="388" t="s">
        <v>329</v>
      </c>
      <c r="C167" s="465"/>
      <c r="D167" s="174"/>
      <c r="E167" s="174"/>
      <c r="F167" s="174"/>
      <c r="G167" s="250"/>
      <c r="H167" s="250"/>
    </row>
    <row r="168" spans="1:10" ht="15.75" customHeight="1" x14ac:dyDescent="0.25">
      <c r="B168" s="388" t="s">
        <v>330</v>
      </c>
      <c r="C168" s="465"/>
      <c r="D168" s="174"/>
      <c r="E168" s="174"/>
      <c r="F168" s="174"/>
      <c r="G168" s="250"/>
      <c r="H168" s="250"/>
    </row>
    <row r="169" spans="1:10" ht="15.75" customHeight="1" x14ac:dyDescent="0.25">
      <c r="B169" s="388" t="s">
        <v>331</v>
      </c>
      <c r="C169" s="465"/>
      <c r="D169" s="174"/>
      <c r="E169" s="174"/>
      <c r="F169" s="174"/>
      <c r="G169" s="250"/>
      <c r="H169" s="250"/>
    </row>
    <row r="170" spans="1:10" ht="15.75" customHeight="1" x14ac:dyDescent="0.25">
      <c r="B170" s="388" t="s">
        <v>332</v>
      </c>
      <c r="C170" s="465"/>
      <c r="D170" s="174"/>
      <c r="E170" s="174"/>
      <c r="F170" s="174"/>
      <c r="G170" s="250"/>
      <c r="H170" s="250"/>
    </row>
    <row r="171" spans="1:10" ht="15.75" customHeight="1" x14ac:dyDescent="0.25">
      <c r="B171" s="388" t="s">
        <v>333</v>
      </c>
      <c r="C171" s="465"/>
      <c r="D171" s="174"/>
      <c r="E171" s="174"/>
      <c r="F171" s="174"/>
      <c r="G171" s="250"/>
      <c r="H171" s="250"/>
    </row>
    <row r="172" spans="1:10" ht="15.75" customHeight="1" x14ac:dyDescent="0.25">
      <c r="B172" s="388" t="s">
        <v>334</v>
      </c>
      <c r="C172" s="465"/>
      <c r="D172" s="174"/>
      <c r="E172" s="174"/>
      <c r="F172" s="174"/>
      <c r="G172" s="250"/>
      <c r="H172" s="250"/>
    </row>
    <row r="173" spans="1:10" ht="15.75" customHeight="1" x14ac:dyDescent="0.25">
      <c r="B173" s="388" t="s">
        <v>335</v>
      </c>
      <c r="C173" s="465"/>
      <c r="D173" s="174"/>
      <c r="E173" s="174"/>
      <c r="F173" s="174"/>
      <c r="G173" s="250"/>
      <c r="H173" s="250"/>
    </row>
    <row r="174" spans="1:10" ht="15.75" customHeight="1" x14ac:dyDescent="0.25">
      <c r="B174" s="388" t="s">
        <v>336</v>
      </c>
      <c r="C174" s="465"/>
      <c r="D174" s="174"/>
      <c r="E174" s="174"/>
      <c r="F174" s="174"/>
      <c r="G174" s="250"/>
      <c r="H174" s="250"/>
    </row>
    <row r="175" spans="1:10" ht="15.75" customHeight="1" x14ac:dyDescent="0.25">
      <c r="B175" s="388" t="s">
        <v>337</v>
      </c>
      <c r="C175" s="465"/>
      <c r="D175" s="174"/>
      <c r="E175" s="174"/>
      <c r="F175" s="174"/>
      <c r="G175" s="250"/>
      <c r="H175" s="250"/>
    </row>
    <row r="176" spans="1:10" ht="15.75" customHeight="1" x14ac:dyDescent="0.25">
      <c r="B176" s="388" t="s">
        <v>104</v>
      </c>
      <c r="C176" s="465"/>
      <c r="D176" s="174"/>
      <c r="E176" s="174"/>
      <c r="F176" s="174"/>
      <c r="G176" s="250"/>
      <c r="H176" s="250"/>
    </row>
    <row r="177" spans="2:11" ht="15.75" customHeight="1" x14ac:dyDescent="0.25">
      <c r="B177" s="388" t="s">
        <v>338</v>
      </c>
      <c r="C177" s="465"/>
      <c r="D177" s="174"/>
      <c r="E177" s="174"/>
      <c r="F177" s="174"/>
      <c r="G177" s="250"/>
      <c r="H177" s="250"/>
    </row>
    <row r="178" spans="2:11" ht="15.75" customHeight="1" x14ac:dyDescent="0.25">
      <c r="B178" s="388" t="s">
        <v>339</v>
      </c>
      <c r="C178" s="465"/>
      <c r="D178" s="174"/>
      <c r="E178" s="174"/>
      <c r="F178" s="174"/>
      <c r="G178" s="250"/>
      <c r="H178" s="250"/>
    </row>
    <row r="179" spans="2:11" ht="15.75" customHeight="1" x14ac:dyDescent="0.25">
      <c r="B179" s="388" t="s">
        <v>391</v>
      </c>
      <c r="C179" s="465"/>
      <c r="D179" s="174"/>
      <c r="E179" s="174"/>
      <c r="F179" s="174"/>
      <c r="G179" s="250"/>
      <c r="H179" s="250"/>
    </row>
    <row r="180" spans="2:11" ht="15.75" customHeight="1" x14ac:dyDescent="0.25">
      <c r="B180" s="388" t="s">
        <v>392</v>
      </c>
      <c r="C180" s="465"/>
      <c r="D180" s="174"/>
      <c r="E180" s="174"/>
      <c r="F180" s="174"/>
      <c r="G180" s="250"/>
      <c r="H180" s="250"/>
    </row>
    <row r="181" spans="2:11" ht="15.75" customHeight="1" x14ac:dyDescent="0.25">
      <c r="B181" s="393" t="s">
        <v>340</v>
      </c>
      <c r="C181" s="466"/>
      <c r="D181" s="174"/>
      <c r="E181" s="174"/>
      <c r="F181" s="174"/>
      <c r="G181" s="250"/>
      <c r="H181" s="250"/>
    </row>
    <row r="182" spans="2:11" ht="15.75" customHeight="1" x14ac:dyDescent="0.25">
      <c r="C182" s="174"/>
      <c r="D182" s="174"/>
      <c r="E182" s="174"/>
      <c r="F182" s="174"/>
      <c r="G182" s="250"/>
      <c r="H182" s="250"/>
    </row>
    <row r="183" spans="2:11" ht="15.75" customHeight="1" x14ac:dyDescent="0.25">
      <c r="C183" s="174"/>
      <c r="D183" s="174"/>
      <c r="E183" s="174"/>
      <c r="F183" s="174"/>
      <c r="G183" s="250"/>
      <c r="H183" s="250"/>
    </row>
    <row r="184" spans="2:11" ht="15.75" customHeight="1" x14ac:dyDescent="0.25">
      <c r="B184" s="132" t="s">
        <v>341</v>
      </c>
      <c r="C184" s="174"/>
      <c r="D184" s="174"/>
      <c r="E184" s="174"/>
      <c r="F184" s="174"/>
      <c r="G184" s="250"/>
      <c r="H184" s="250"/>
    </row>
    <row r="185" spans="2:11" x14ac:dyDescent="0.25">
      <c r="B185" s="463" t="s">
        <v>410</v>
      </c>
      <c r="C185" s="468"/>
      <c r="D185" s="468"/>
      <c r="E185" s="468"/>
      <c r="F185" s="468"/>
      <c r="G185" s="463" t="s">
        <v>343</v>
      </c>
      <c r="H185" s="6"/>
      <c r="I185" s="467" t="s">
        <v>524</v>
      </c>
    </row>
    <row r="186" spans="2:11" x14ac:dyDescent="0.25">
      <c r="B186" s="469"/>
      <c r="C186" s="470"/>
      <c r="D186" s="470"/>
      <c r="E186" s="470"/>
      <c r="F186" s="470"/>
      <c r="G186" s="469"/>
      <c r="H186" s="22"/>
      <c r="I186" s="22"/>
    </row>
    <row r="187" spans="2:11" x14ac:dyDescent="0.25">
      <c r="B187" s="187" t="s">
        <v>414</v>
      </c>
      <c r="C187" s="389"/>
      <c r="D187" s="389"/>
      <c r="E187" s="389"/>
      <c r="F187" s="389"/>
      <c r="G187" s="388" t="s">
        <v>338</v>
      </c>
      <c r="H187" s="189"/>
      <c r="I187" s="472" t="s">
        <v>311</v>
      </c>
      <c r="J187" s="176"/>
      <c r="K187" s="176"/>
    </row>
    <row r="188" spans="2:11" x14ac:dyDescent="0.25">
      <c r="B188" s="187" t="s">
        <v>344</v>
      </c>
      <c r="C188" s="389"/>
      <c r="D188" s="389"/>
      <c r="E188" s="389"/>
      <c r="F188" s="389"/>
      <c r="G188" s="388" t="s">
        <v>337</v>
      </c>
      <c r="H188" s="189"/>
      <c r="I188" s="472" t="s">
        <v>311</v>
      </c>
      <c r="J188" s="176"/>
      <c r="K188" s="176"/>
    </row>
    <row r="189" spans="2:11" x14ac:dyDescent="0.25">
      <c r="B189" s="187" t="s">
        <v>345</v>
      </c>
      <c r="C189" s="389"/>
      <c r="D189" s="389"/>
      <c r="E189" s="389"/>
      <c r="F189" s="389"/>
      <c r="G189" s="388" t="s">
        <v>338</v>
      </c>
      <c r="H189" s="189"/>
      <c r="I189" s="472" t="s">
        <v>311</v>
      </c>
      <c r="J189" s="176"/>
      <c r="K189" s="176"/>
    </row>
    <row r="190" spans="2:11" x14ac:dyDescent="0.25">
      <c r="B190" s="187" t="s">
        <v>346</v>
      </c>
      <c r="C190" s="389"/>
      <c r="D190" s="389"/>
      <c r="E190" s="389"/>
      <c r="F190" s="389"/>
      <c r="G190" s="388" t="s">
        <v>337</v>
      </c>
      <c r="H190" s="189"/>
      <c r="I190" s="472" t="s">
        <v>311</v>
      </c>
      <c r="J190" s="176"/>
      <c r="K190" s="176"/>
    </row>
    <row r="191" spans="2:11" x14ac:dyDescent="0.25">
      <c r="B191" s="187" t="s">
        <v>347</v>
      </c>
      <c r="C191" s="389"/>
      <c r="D191" s="389"/>
      <c r="E191" s="389"/>
      <c r="F191" s="389"/>
      <c r="G191" s="388" t="s">
        <v>337</v>
      </c>
      <c r="H191" s="189"/>
      <c r="I191" s="472" t="s">
        <v>311</v>
      </c>
      <c r="J191" s="176"/>
      <c r="K191" s="176"/>
    </row>
    <row r="192" spans="2:11" x14ac:dyDescent="0.25">
      <c r="B192" s="187" t="s">
        <v>348</v>
      </c>
      <c r="C192" s="389"/>
      <c r="D192" s="389"/>
      <c r="E192" s="389"/>
      <c r="F192" s="389"/>
      <c r="G192" s="388" t="s">
        <v>338</v>
      </c>
      <c r="H192" s="189"/>
      <c r="I192" s="472" t="s">
        <v>311</v>
      </c>
      <c r="J192" s="176"/>
      <c r="K192" s="176"/>
    </row>
    <row r="193" spans="2:11" x14ac:dyDescent="0.25">
      <c r="B193" s="187" t="s">
        <v>419</v>
      </c>
      <c r="C193" s="389"/>
      <c r="D193" s="389"/>
      <c r="E193" s="389"/>
      <c r="F193" s="389"/>
      <c r="G193" s="388" t="s">
        <v>340</v>
      </c>
      <c r="H193" s="189"/>
      <c r="I193" s="472" t="s">
        <v>311</v>
      </c>
      <c r="J193" s="176"/>
      <c r="K193" s="176"/>
    </row>
    <row r="194" spans="2:11" x14ac:dyDescent="0.25">
      <c r="B194" s="187" t="s">
        <v>349</v>
      </c>
      <c r="C194" s="389"/>
      <c r="D194" s="389"/>
      <c r="E194" s="389"/>
      <c r="F194" s="389"/>
      <c r="G194" s="388" t="s">
        <v>337</v>
      </c>
      <c r="H194" s="189"/>
      <c r="I194" s="472" t="s">
        <v>311</v>
      </c>
      <c r="J194" s="176"/>
      <c r="K194" s="176"/>
    </row>
    <row r="195" spans="2:11" x14ac:dyDescent="0.25">
      <c r="B195" s="187" t="s">
        <v>350</v>
      </c>
      <c r="C195" s="389"/>
      <c r="D195" s="389"/>
      <c r="E195" s="389"/>
      <c r="F195" s="389"/>
      <c r="G195" s="388" t="s">
        <v>340</v>
      </c>
      <c r="H195" s="189"/>
      <c r="I195" s="472" t="s">
        <v>311</v>
      </c>
      <c r="J195" s="176"/>
      <c r="K195" s="176"/>
    </row>
    <row r="196" spans="2:11" x14ac:dyDescent="0.25">
      <c r="B196" s="187" t="s">
        <v>416</v>
      </c>
      <c r="C196" s="389"/>
      <c r="D196" s="389"/>
      <c r="E196" s="389"/>
      <c r="F196" s="389"/>
      <c r="G196" s="388" t="s">
        <v>104</v>
      </c>
      <c r="H196" s="189"/>
      <c r="I196" s="472" t="s">
        <v>311</v>
      </c>
      <c r="J196" s="176"/>
      <c r="K196" s="176"/>
    </row>
    <row r="197" spans="2:11" x14ac:dyDescent="0.25">
      <c r="B197" s="187" t="s">
        <v>433</v>
      </c>
      <c r="C197" s="389"/>
      <c r="D197" s="389"/>
      <c r="E197" s="389"/>
      <c r="F197" s="389"/>
      <c r="G197" s="388" t="s">
        <v>339</v>
      </c>
      <c r="H197" s="189"/>
      <c r="I197" s="472" t="s">
        <v>311</v>
      </c>
      <c r="J197" s="176"/>
      <c r="K197" s="176"/>
    </row>
    <row r="198" spans="2:11" x14ac:dyDescent="0.25">
      <c r="B198" s="187" t="s">
        <v>436</v>
      </c>
      <c r="C198" s="389"/>
      <c r="D198" s="389"/>
      <c r="E198" s="389"/>
      <c r="F198" s="389"/>
      <c r="G198" s="388" t="s">
        <v>340</v>
      </c>
      <c r="H198" s="189"/>
      <c r="I198" s="472" t="s">
        <v>311</v>
      </c>
      <c r="J198" s="176"/>
      <c r="K198" s="176"/>
    </row>
    <row r="199" spans="2:11" x14ac:dyDescent="0.25">
      <c r="B199" s="187" t="s">
        <v>351</v>
      </c>
      <c r="C199" s="389"/>
      <c r="D199" s="389"/>
      <c r="E199" s="389"/>
      <c r="F199" s="389"/>
      <c r="G199" s="388" t="s">
        <v>333</v>
      </c>
      <c r="H199" s="189"/>
      <c r="I199" s="472" t="s">
        <v>311</v>
      </c>
      <c r="J199" s="176"/>
      <c r="K199" s="176"/>
    </row>
    <row r="200" spans="2:11" x14ac:dyDescent="0.25">
      <c r="B200" s="187" t="s">
        <v>428</v>
      </c>
      <c r="C200" s="389"/>
      <c r="D200" s="389"/>
      <c r="E200" s="389"/>
      <c r="F200" s="389"/>
      <c r="G200" s="388" t="s">
        <v>333</v>
      </c>
      <c r="H200" s="189"/>
      <c r="I200" s="472" t="s">
        <v>311</v>
      </c>
      <c r="J200" s="176"/>
      <c r="K200" s="176"/>
    </row>
    <row r="201" spans="2:11" x14ac:dyDescent="0.25">
      <c r="B201" s="187" t="s">
        <v>429</v>
      </c>
      <c r="C201" s="389"/>
      <c r="D201" s="389"/>
      <c r="E201" s="389"/>
      <c r="F201" s="389"/>
      <c r="G201" s="388" t="s">
        <v>335</v>
      </c>
      <c r="H201" s="189"/>
      <c r="I201" s="472" t="s">
        <v>311</v>
      </c>
      <c r="J201" s="176"/>
      <c r="K201" s="176"/>
    </row>
    <row r="202" spans="2:11" x14ac:dyDescent="0.25">
      <c r="B202" s="187" t="s">
        <v>430</v>
      </c>
      <c r="C202" s="389"/>
      <c r="D202" s="389"/>
      <c r="E202" s="389"/>
      <c r="F202" s="389"/>
      <c r="G202" s="388" t="s">
        <v>335</v>
      </c>
      <c r="H202" s="189"/>
      <c r="I202" s="472" t="s">
        <v>311</v>
      </c>
      <c r="J202" s="176"/>
      <c r="K202" s="176"/>
    </row>
    <row r="203" spans="2:11" x14ac:dyDescent="0.25">
      <c r="B203" s="187" t="s">
        <v>422</v>
      </c>
      <c r="C203" s="389"/>
      <c r="D203" s="389"/>
      <c r="E203" s="389"/>
      <c r="F203" s="389"/>
      <c r="G203" s="388" t="s">
        <v>329</v>
      </c>
      <c r="H203" s="189"/>
      <c r="I203" s="472" t="s">
        <v>311</v>
      </c>
      <c r="J203" s="176"/>
      <c r="K203" s="176"/>
    </row>
    <row r="204" spans="2:11" x14ac:dyDescent="0.25">
      <c r="B204" s="187" t="s">
        <v>437</v>
      </c>
      <c r="C204" s="389"/>
      <c r="D204" s="389"/>
      <c r="E204" s="389"/>
      <c r="F204" s="389"/>
      <c r="G204" s="388" t="s">
        <v>335</v>
      </c>
      <c r="H204" s="189"/>
      <c r="I204" s="472" t="s">
        <v>311</v>
      </c>
      <c r="J204" s="176"/>
      <c r="K204" s="176"/>
    </row>
    <row r="205" spans="2:11" x14ac:dyDescent="0.25">
      <c r="B205" s="187" t="s">
        <v>442</v>
      </c>
      <c r="C205" s="389"/>
      <c r="D205" s="389"/>
      <c r="E205" s="389"/>
      <c r="F205" s="389"/>
      <c r="G205" s="388" t="s">
        <v>339</v>
      </c>
      <c r="H205" s="189"/>
      <c r="I205" s="472" t="s">
        <v>311</v>
      </c>
      <c r="J205" s="176"/>
      <c r="K205" s="176"/>
    </row>
    <row r="206" spans="2:11" x14ac:dyDescent="0.25">
      <c r="B206" s="187" t="s">
        <v>431</v>
      </c>
      <c r="C206" s="389"/>
      <c r="D206" s="389"/>
      <c r="E206" s="389"/>
      <c r="F206" s="389"/>
      <c r="G206" s="388" t="s">
        <v>340</v>
      </c>
      <c r="H206" s="189"/>
      <c r="I206" s="472" t="s">
        <v>311</v>
      </c>
      <c r="J206" s="176"/>
      <c r="K206" s="176"/>
    </row>
    <row r="207" spans="2:11" x14ac:dyDescent="0.25">
      <c r="B207" s="187" t="s">
        <v>431</v>
      </c>
      <c r="C207" s="389"/>
      <c r="D207" s="389"/>
      <c r="E207" s="389"/>
      <c r="F207" s="389"/>
      <c r="G207" s="388" t="s">
        <v>340</v>
      </c>
      <c r="H207" s="189"/>
      <c r="I207" s="472" t="s">
        <v>311</v>
      </c>
      <c r="J207" s="176"/>
      <c r="K207" s="176"/>
    </row>
    <row r="208" spans="2:11" x14ac:dyDescent="0.25">
      <c r="B208" s="187" t="s">
        <v>452</v>
      </c>
      <c r="C208" s="389"/>
      <c r="D208" s="389"/>
      <c r="E208" s="389"/>
      <c r="F208" s="389"/>
      <c r="G208" s="388" t="s">
        <v>338</v>
      </c>
      <c r="H208" s="189"/>
      <c r="I208" s="472" t="s">
        <v>311</v>
      </c>
      <c r="J208" s="176"/>
      <c r="K208" s="176"/>
    </row>
    <row r="209" spans="2:11" x14ac:dyDescent="0.25">
      <c r="B209" s="187" t="s">
        <v>352</v>
      </c>
      <c r="C209" s="473"/>
      <c r="D209" s="473"/>
      <c r="E209" s="473"/>
      <c r="F209" s="473"/>
      <c r="G209" s="388" t="s">
        <v>333</v>
      </c>
      <c r="H209" s="189"/>
      <c r="I209" s="472" t="s">
        <v>311</v>
      </c>
      <c r="J209" s="176"/>
      <c r="K209" s="176"/>
    </row>
    <row r="210" spans="2:11" x14ac:dyDescent="0.25">
      <c r="B210" s="187" t="s">
        <v>424</v>
      </c>
      <c r="C210" s="389"/>
      <c r="D210" s="389"/>
      <c r="E210" s="389"/>
      <c r="F210" s="389"/>
      <c r="G210" s="388" t="s">
        <v>331</v>
      </c>
      <c r="H210" s="189"/>
      <c r="I210" s="472" t="s">
        <v>311</v>
      </c>
      <c r="J210" s="176"/>
      <c r="K210" s="176"/>
    </row>
    <row r="211" spans="2:11" x14ac:dyDescent="0.25">
      <c r="B211" s="187" t="s">
        <v>353</v>
      </c>
      <c r="C211" s="389"/>
      <c r="D211" s="389"/>
      <c r="E211" s="389"/>
      <c r="F211" s="389"/>
      <c r="G211" s="388" t="s">
        <v>340</v>
      </c>
      <c r="H211" s="189"/>
      <c r="I211" s="472" t="s">
        <v>311</v>
      </c>
      <c r="J211" s="176"/>
      <c r="K211" s="176"/>
    </row>
    <row r="212" spans="2:11" x14ac:dyDescent="0.25">
      <c r="B212" s="187" t="s">
        <v>418</v>
      </c>
      <c r="C212" s="389"/>
      <c r="D212" s="389"/>
      <c r="E212" s="389"/>
      <c r="F212" s="389"/>
      <c r="G212" s="388" t="s">
        <v>332</v>
      </c>
      <c r="H212" s="189"/>
      <c r="I212" s="472" t="s">
        <v>311</v>
      </c>
      <c r="J212" s="176"/>
      <c r="K212" s="176"/>
    </row>
    <row r="213" spans="2:11" x14ac:dyDescent="0.25">
      <c r="B213" s="187" t="s">
        <v>418</v>
      </c>
      <c r="C213" s="389"/>
      <c r="D213" s="389"/>
      <c r="E213" s="389"/>
      <c r="F213" s="389"/>
      <c r="G213" s="388" t="s">
        <v>332</v>
      </c>
      <c r="H213" s="189"/>
      <c r="I213" s="472" t="s">
        <v>311</v>
      </c>
      <c r="J213" s="176"/>
      <c r="K213" s="176"/>
    </row>
    <row r="214" spans="2:11" x14ac:dyDescent="0.25">
      <c r="B214" s="187" t="s">
        <v>425</v>
      </c>
      <c r="C214" s="389"/>
      <c r="D214" s="389"/>
      <c r="E214" s="389"/>
      <c r="F214" s="389"/>
      <c r="G214" s="388" t="s">
        <v>329</v>
      </c>
      <c r="H214" s="189"/>
      <c r="I214" s="472" t="s">
        <v>311</v>
      </c>
      <c r="J214" s="176"/>
      <c r="K214" s="176"/>
    </row>
    <row r="215" spans="2:11" x14ac:dyDescent="0.25">
      <c r="B215" s="187" t="s">
        <v>354</v>
      </c>
      <c r="C215" s="389"/>
      <c r="D215" s="389"/>
      <c r="E215" s="389"/>
      <c r="F215" s="389"/>
      <c r="G215" s="388" t="s">
        <v>330</v>
      </c>
      <c r="H215" s="189"/>
      <c r="I215" s="472" t="s">
        <v>311</v>
      </c>
      <c r="J215" s="176"/>
      <c r="K215" s="176"/>
    </row>
    <row r="216" spans="2:11" x14ac:dyDescent="0.25">
      <c r="B216" s="187" t="s">
        <v>355</v>
      </c>
      <c r="C216" s="389"/>
      <c r="D216" s="389"/>
      <c r="E216" s="389"/>
      <c r="F216" s="389"/>
      <c r="G216" s="388" t="s">
        <v>336</v>
      </c>
      <c r="H216" s="189"/>
      <c r="I216" s="472" t="s">
        <v>311</v>
      </c>
      <c r="J216" s="176"/>
      <c r="K216" s="176"/>
    </row>
    <row r="217" spans="2:11" x14ac:dyDescent="0.25">
      <c r="B217" s="187" t="s">
        <v>356</v>
      </c>
      <c r="C217" s="389"/>
      <c r="D217" s="389"/>
      <c r="E217" s="389"/>
      <c r="F217" s="389"/>
      <c r="G217" s="388" t="s">
        <v>104</v>
      </c>
      <c r="H217" s="189"/>
      <c r="I217" s="472" t="s">
        <v>311</v>
      </c>
      <c r="J217" s="176"/>
      <c r="K217" s="176"/>
    </row>
    <row r="218" spans="2:11" x14ac:dyDescent="0.25">
      <c r="B218" s="187" t="s">
        <v>357</v>
      </c>
      <c r="C218" s="389"/>
      <c r="D218" s="389"/>
      <c r="E218" s="389"/>
      <c r="F218" s="389"/>
      <c r="G218" s="388" t="s">
        <v>104</v>
      </c>
      <c r="H218" s="189"/>
      <c r="I218" s="472" t="s">
        <v>311</v>
      </c>
      <c r="J218" s="176"/>
      <c r="K218" s="176"/>
    </row>
    <row r="219" spans="2:11" x14ac:dyDescent="0.25">
      <c r="B219" s="187" t="s">
        <v>358</v>
      </c>
      <c r="C219" s="389"/>
      <c r="D219" s="389"/>
      <c r="E219" s="389"/>
      <c r="F219" s="389"/>
      <c r="G219" s="388" t="s">
        <v>336</v>
      </c>
      <c r="H219" s="189"/>
      <c r="I219" s="472" t="s">
        <v>311</v>
      </c>
      <c r="J219" s="176"/>
      <c r="K219" s="176"/>
    </row>
    <row r="220" spans="2:11" x14ac:dyDescent="0.25">
      <c r="B220" s="187" t="s">
        <v>359</v>
      </c>
      <c r="C220" s="389"/>
      <c r="D220" s="389"/>
      <c r="E220" s="389"/>
      <c r="F220" s="389"/>
      <c r="G220" s="388" t="s">
        <v>104</v>
      </c>
      <c r="H220" s="189"/>
      <c r="I220" s="472" t="s">
        <v>311</v>
      </c>
      <c r="J220" s="176"/>
      <c r="K220" s="176"/>
    </row>
    <row r="221" spans="2:11" x14ac:dyDescent="0.25">
      <c r="B221" s="187" t="s">
        <v>448</v>
      </c>
      <c r="C221" s="389"/>
      <c r="D221" s="389"/>
      <c r="E221" s="389"/>
      <c r="F221" s="389"/>
      <c r="G221" s="388" t="s">
        <v>330</v>
      </c>
      <c r="H221" s="189"/>
      <c r="I221" s="472" t="s">
        <v>311</v>
      </c>
      <c r="J221" s="176"/>
      <c r="K221" s="176"/>
    </row>
    <row r="222" spans="2:11" x14ac:dyDescent="0.25">
      <c r="B222" s="187" t="s">
        <v>360</v>
      </c>
      <c r="C222" s="389"/>
      <c r="D222" s="389"/>
      <c r="E222" s="389"/>
      <c r="F222" s="389"/>
      <c r="G222" s="388" t="s">
        <v>333</v>
      </c>
      <c r="H222" s="189"/>
      <c r="I222" s="472" t="s">
        <v>311</v>
      </c>
      <c r="J222" s="176"/>
      <c r="K222" s="176"/>
    </row>
    <row r="223" spans="2:11" x14ac:dyDescent="0.25">
      <c r="B223" s="187" t="s">
        <v>361</v>
      </c>
      <c r="C223" s="389"/>
      <c r="D223" s="389"/>
      <c r="E223" s="389"/>
      <c r="F223" s="389"/>
      <c r="G223" s="388" t="s">
        <v>335</v>
      </c>
      <c r="H223" s="189"/>
      <c r="I223" s="472" t="s">
        <v>311</v>
      </c>
      <c r="J223" s="176"/>
      <c r="K223" s="176"/>
    </row>
    <row r="224" spans="2:11" x14ac:dyDescent="0.25">
      <c r="B224" s="187" t="s">
        <v>363</v>
      </c>
      <c r="C224" s="389"/>
      <c r="D224" s="389"/>
      <c r="E224" s="389"/>
      <c r="F224" s="389"/>
      <c r="G224" s="388" t="s">
        <v>334</v>
      </c>
      <c r="H224" s="189"/>
      <c r="I224" s="472" t="s">
        <v>311</v>
      </c>
      <c r="J224" s="176"/>
      <c r="K224" s="176"/>
    </row>
    <row r="225" spans="2:11" x14ac:dyDescent="0.25">
      <c r="B225" s="187" t="s">
        <v>426</v>
      </c>
      <c r="C225" s="389"/>
      <c r="D225" s="389"/>
      <c r="E225" s="389"/>
      <c r="F225" s="389"/>
      <c r="G225" s="388" t="s">
        <v>334</v>
      </c>
      <c r="H225" s="189"/>
      <c r="I225" s="472" t="s">
        <v>311</v>
      </c>
      <c r="J225" s="176"/>
      <c r="K225" s="176"/>
    </row>
    <row r="226" spans="2:11" x14ac:dyDescent="0.25">
      <c r="B226" s="187" t="s">
        <v>427</v>
      </c>
      <c r="C226" s="389"/>
      <c r="D226" s="389"/>
      <c r="E226" s="389"/>
      <c r="F226" s="389"/>
      <c r="G226" s="388" t="s">
        <v>340</v>
      </c>
      <c r="H226" s="189"/>
      <c r="I226" s="472" t="s">
        <v>311</v>
      </c>
      <c r="J226" s="176"/>
      <c r="K226" s="176"/>
    </row>
    <row r="227" spans="2:11" x14ac:dyDescent="0.25">
      <c r="B227" s="187" t="s">
        <v>364</v>
      </c>
      <c r="C227" s="389"/>
      <c r="D227" s="389"/>
      <c r="E227" s="389"/>
      <c r="F227" s="389"/>
      <c r="G227" s="388" t="s">
        <v>329</v>
      </c>
      <c r="H227" s="189"/>
      <c r="I227" s="472" t="s">
        <v>311</v>
      </c>
      <c r="J227" s="176"/>
      <c r="K227" s="176"/>
    </row>
    <row r="228" spans="2:11" x14ac:dyDescent="0.25">
      <c r="B228" s="187" t="s">
        <v>365</v>
      </c>
      <c r="C228" s="389"/>
      <c r="D228" s="389"/>
      <c r="E228" s="389"/>
      <c r="F228" s="389"/>
      <c r="G228" s="388" t="s">
        <v>329</v>
      </c>
      <c r="H228" s="189"/>
      <c r="I228" s="472" t="s">
        <v>311</v>
      </c>
      <c r="J228" s="176"/>
      <c r="K228" s="176"/>
    </row>
    <row r="229" spans="2:11" x14ac:dyDescent="0.25">
      <c r="B229" s="187" t="s">
        <v>366</v>
      </c>
      <c r="C229" s="389"/>
      <c r="D229" s="389"/>
      <c r="E229" s="389"/>
      <c r="F229" s="389"/>
      <c r="G229" s="388" t="s">
        <v>334</v>
      </c>
      <c r="H229" s="189"/>
      <c r="I229" s="472" t="s">
        <v>311</v>
      </c>
      <c r="J229" s="176"/>
      <c r="K229" s="176"/>
    </row>
    <row r="230" spans="2:11" x14ac:dyDescent="0.25">
      <c r="B230" s="187" t="s">
        <v>367</v>
      </c>
      <c r="C230" s="389"/>
      <c r="D230" s="389"/>
      <c r="E230" s="389"/>
      <c r="F230" s="389"/>
      <c r="G230" s="388" t="s">
        <v>340</v>
      </c>
      <c r="H230" s="189"/>
      <c r="I230" s="472" t="s">
        <v>311</v>
      </c>
      <c r="J230" s="176"/>
      <c r="K230" s="176"/>
    </row>
    <row r="231" spans="2:11" x14ac:dyDescent="0.25">
      <c r="B231" s="187" t="s">
        <v>368</v>
      </c>
      <c r="C231" s="389"/>
      <c r="D231" s="389"/>
      <c r="E231" s="389"/>
      <c r="F231" s="389"/>
      <c r="G231" s="388" t="s">
        <v>334</v>
      </c>
      <c r="H231" s="189"/>
      <c r="I231" s="472" t="s">
        <v>311</v>
      </c>
      <c r="J231" s="176"/>
      <c r="K231" s="176"/>
    </row>
    <row r="232" spans="2:11" x14ac:dyDescent="0.25">
      <c r="B232" s="187" t="s">
        <v>369</v>
      </c>
      <c r="C232" s="389"/>
      <c r="D232" s="389"/>
      <c r="E232" s="389"/>
      <c r="F232" s="389"/>
      <c r="G232" s="388" t="s">
        <v>337</v>
      </c>
      <c r="H232" s="189"/>
      <c r="I232" s="472" t="s">
        <v>311</v>
      </c>
      <c r="J232" s="176"/>
      <c r="K232" s="176"/>
    </row>
    <row r="233" spans="2:11" x14ac:dyDescent="0.25">
      <c r="B233" s="187" t="s">
        <v>370</v>
      </c>
      <c r="C233" s="389"/>
      <c r="D233" s="389"/>
      <c r="E233" s="389"/>
      <c r="F233" s="389"/>
      <c r="G233" s="388" t="s">
        <v>330</v>
      </c>
      <c r="H233" s="189"/>
      <c r="I233" s="472" t="s">
        <v>311</v>
      </c>
      <c r="J233" s="176"/>
      <c r="K233" s="176"/>
    </row>
    <row r="234" spans="2:11" x14ac:dyDescent="0.25">
      <c r="B234" s="187" t="s">
        <v>445</v>
      </c>
      <c r="C234" s="389"/>
      <c r="D234" s="389"/>
      <c r="E234" s="389"/>
      <c r="F234" s="389"/>
      <c r="G234" s="388" t="s">
        <v>332</v>
      </c>
      <c r="H234" s="189"/>
      <c r="I234" s="472" t="s">
        <v>311</v>
      </c>
      <c r="J234" s="176"/>
      <c r="K234" s="176"/>
    </row>
    <row r="235" spans="2:11" x14ac:dyDescent="0.25">
      <c r="B235" s="187" t="s">
        <v>438</v>
      </c>
      <c r="C235" s="389"/>
      <c r="D235" s="389"/>
      <c r="E235" s="389"/>
      <c r="F235" s="389"/>
      <c r="G235" s="388" t="s">
        <v>339</v>
      </c>
      <c r="H235" s="189"/>
      <c r="I235" s="472" t="s">
        <v>311</v>
      </c>
      <c r="J235" s="176"/>
      <c r="K235" s="176"/>
    </row>
    <row r="236" spans="2:11" x14ac:dyDescent="0.25">
      <c r="B236" s="187" t="s">
        <v>371</v>
      </c>
      <c r="C236" s="389"/>
      <c r="D236" s="389"/>
      <c r="E236" s="389"/>
      <c r="F236" s="389"/>
      <c r="G236" s="388" t="s">
        <v>339</v>
      </c>
      <c r="H236" s="189"/>
      <c r="I236" s="472" t="s">
        <v>311</v>
      </c>
      <c r="J236" s="176"/>
      <c r="K236" s="176"/>
    </row>
    <row r="237" spans="2:11" x14ac:dyDescent="0.25">
      <c r="B237" s="187" t="s">
        <v>372</v>
      </c>
      <c r="C237" s="389"/>
      <c r="D237" s="389"/>
      <c r="E237" s="389"/>
      <c r="F237" s="389"/>
      <c r="G237" s="388" t="s">
        <v>335</v>
      </c>
      <c r="H237" s="189"/>
      <c r="I237" s="472" t="s">
        <v>311</v>
      </c>
      <c r="J237" s="176"/>
      <c r="K237" s="176"/>
    </row>
    <row r="238" spans="2:11" x14ac:dyDescent="0.25">
      <c r="B238" s="187" t="s">
        <v>440</v>
      </c>
      <c r="C238" s="389"/>
      <c r="D238" s="389"/>
      <c r="E238" s="389"/>
      <c r="F238" s="389"/>
      <c r="G238" s="388" t="s">
        <v>340</v>
      </c>
      <c r="H238" s="189"/>
      <c r="I238" s="472" t="s">
        <v>311</v>
      </c>
      <c r="J238" s="176"/>
      <c r="K238" s="176"/>
    </row>
    <row r="239" spans="2:11" x14ac:dyDescent="0.25">
      <c r="B239" s="187" t="s">
        <v>441</v>
      </c>
      <c r="C239" s="389"/>
      <c r="D239" s="389"/>
      <c r="E239" s="389"/>
      <c r="F239" s="389"/>
      <c r="G239" s="388" t="s">
        <v>340</v>
      </c>
      <c r="H239" s="189"/>
      <c r="I239" s="472" t="s">
        <v>311</v>
      </c>
      <c r="J239" s="176"/>
      <c r="K239" s="176"/>
    </row>
    <row r="240" spans="2:11" x14ac:dyDescent="0.25">
      <c r="B240" s="187" t="s">
        <v>373</v>
      </c>
      <c r="C240" s="389"/>
      <c r="D240" s="389"/>
      <c r="E240" s="389"/>
      <c r="F240" s="389"/>
      <c r="G240" s="388" t="s">
        <v>340</v>
      </c>
      <c r="H240" s="189"/>
      <c r="I240" s="472" t="s">
        <v>311</v>
      </c>
      <c r="J240" s="176"/>
      <c r="K240" s="176"/>
    </row>
    <row r="241" spans="2:11" x14ac:dyDescent="0.25">
      <c r="B241" s="187" t="s">
        <v>443</v>
      </c>
      <c r="C241" s="389"/>
      <c r="D241" s="389"/>
      <c r="E241" s="389"/>
      <c r="F241" s="389"/>
      <c r="G241" s="388" t="s">
        <v>329</v>
      </c>
      <c r="H241" s="189"/>
      <c r="I241" s="472" t="s">
        <v>311</v>
      </c>
      <c r="J241" s="176"/>
      <c r="K241" s="176"/>
    </row>
    <row r="242" spans="2:11" x14ac:dyDescent="0.25">
      <c r="B242" s="187" t="s">
        <v>447</v>
      </c>
      <c r="C242" s="389"/>
      <c r="D242" s="389"/>
      <c r="E242" s="389"/>
      <c r="F242" s="389"/>
      <c r="G242" s="388" t="s">
        <v>330</v>
      </c>
      <c r="H242" s="189"/>
      <c r="I242" s="472" t="s">
        <v>311</v>
      </c>
      <c r="J242" s="176"/>
      <c r="K242" s="176"/>
    </row>
    <row r="243" spans="2:11" x14ac:dyDescent="0.25">
      <c r="B243" s="187" t="s">
        <v>374</v>
      </c>
      <c r="C243" s="389"/>
      <c r="D243" s="389"/>
      <c r="E243" s="389"/>
      <c r="F243" s="389"/>
      <c r="G243" s="388" t="s">
        <v>332</v>
      </c>
      <c r="H243" s="189"/>
      <c r="I243" s="472" t="s">
        <v>311</v>
      </c>
      <c r="J243" s="176"/>
      <c r="K243" s="176"/>
    </row>
    <row r="244" spans="2:11" x14ac:dyDescent="0.25">
      <c r="B244" s="187" t="s">
        <v>375</v>
      </c>
      <c r="C244" s="389"/>
      <c r="D244" s="389"/>
      <c r="E244" s="389"/>
      <c r="F244" s="389"/>
      <c r="G244" s="388" t="s">
        <v>339</v>
      </c>
      <c r="H244" s="189"/>
      <c r="I244" s="472" t="s">
        <v>311</v>
      </c>
      <c r="J244" s="176"/>
      <c r="K244" s="176"/>
    </row>
    <row r="245" spans="2:11" x14ac:dyDescent="0.25">
      <c r="B245" s="187" t="s">
        <v>444</v>
      </c>
      <c r="C245" s="389"/>
      <c r="D245" s="389"/>
      <c r="E245" s="389"/>
      <c r="F245" s="389"/>
      <c r="G245" s="388" t="s">
        <v>104</v>
      </c>
      <c r="H245" s="189"/>
      <c r="I245" s="472" t="s">
        <v>311</v>
      </c>
      <c r="J245" s="176"/>
      <c r="K245" s="176"/>
    </row>
    <row r="246" spans="2:11" x14ac:dyDescent="0.25">
      <c r="B246" s="187" t="s">
        <v>376</v>
      </c>
      <c r="C246" s="389"/>
      <c r="D246" s="389"/>
      <c r="E246" s="389"/>
      <c r="F246" s="389"/>
      <c r="G246" s="388" t="s">
        <v>330</v>
      </c>
      <c r="H246" s="189"/>
      <c r="I246" s="472" t="s">
        <v>311</v>
      </c>
      <c r="J246" s="176"/>
      <c r="K246" s="176"/>
    </row>
    <row r="247" spans="2:11" x14ac:dyDescent="0.25">
      <c r="B247" s="187" t="s">
        <v>439</v>
      </c>
      <c r="C247" s="389"/>
      <c r="D247" s="389"/>
      <c r="E247" s="389"/>
      <c r="F247" s="389"/>
      <c r="G247" s="388" t="s">
        <v>331</v>
      </c>
      <c r="H247" s="189"/>
      <c r="I247" s="472" t="s">
        <v>311</v>
      </c>
      <c r="J247" s="176"/>
      <c r="K247" s="176"/>
    </row>
    <row r="248" spans="2:11" x14ac:dyDescent="0.25">
      <c r="B248" s="187" t="s">
        <v>377</v>
      </c>
      <c r="C248" s="389"/>
      <c r="D248" s="389"/>
      <c r="E248" s="389"/>
      <c r="F248" s="389"/>
      <c r="G248" s="388" t="s">
        <v>332</v>
      </c>
      <c r="H248" s="189"/>
      <c r="I248" s="472" t="s">
        <v>311</v>
      </c>
      <c r="J248" s="176"/>
      <c r="K248" s="176"/>
    </row>
    <row r="249" spans="2:11" x14ac:dyDescent="0.25">
      <c r="B249" s="187" t="s">
        <v>378</v>
      </c>
      <c r="C249" s="389"/>
      <c r="D249" s="389"/>
      <c r="E249" s="389"/>
      <c r="F249" s="389"/>
      <c r="G249" s="388" t="s">
        <v>332</v>
      </c>
      <c r="H249" s="189"/>
      <c r="I249" s="472" t="s">
        <v>311</v>
      </c>
      <c r="J249" s="176"/>
      <c r="K249" s="176"/>
    </row>
    <row r="250" spans="2:11" x14ac:dyDescent="0.25">
      <c r="B250" s="187" t="s">
        <v>379</v>
      </c>
      <c r="C250" s="389"/>
      <c r="D250" s="389"/>
      <c r="E250" s="389"/>
      <c r="F250" s="389"/>
      <c r="G250" s="388" t="s">
        <v>332</v>
      </c>
      <c r="H250" s="189"/>
      <c r="I250" s="472" t="s">
        <v>311</v>
      </c>
      <c r="J250" s="176"/>
      <c r="K250" s="176"/>
    </row>
    <row r="251" spans="2:11" x14ac:dyDescent="0.25">
      <c r="B251" s="187" t="s">
        <v>379</v>
      </c>
      <c r="C251" s="389"/>
      <c r="D251" s="389"/>
      <c r="E251" s="389"/>
      <c r="F251" s="389"/>
      <c r="G251" s="388" t="s">
        <v>332</v>
      </c>
      <c r="H251" s="189"/>
      <c r="I251" s="472" t="s">
        <v>311</v>
      </c>
      <c r="J251" s="176"/>
      <c r="K251" s="176"/>
    </row>
    <row r="252" spans="2:11" x14ac:dyDescent="0.25">
      <c r="B252" s="187" t="s">
        <v>449</v>
      </c>
      <c r="C252" s="389"/>
      <c r="D252" s="389"/>
      <c r="E252" s="389"/>
      <c r="F252" s="389"/>
      <c r="G252" s="388" t="s">
        <v>332</v>
      </c>
      <c r="H252" s="189"/>
      <c r="I252" s="472" t="s">
        <v>311</v>
      </c>
      <c r="J252" s="176"/>
      <c r="K252" s="176"/>
    </row>
    <row r="253" spans="2:11" x14ac:dyDescent="0.25">
      <c r="B253" s="187" t="s">
        <v>380</v>
      </c>
      <c r="C253" s="389"/>
      <c r="D253" s="389"/>
      <c r="E253" s="389"/>
      <c r="F253" s="389"/>
      <c r="G253" s="388" t="s">
        <v>330</v>
      </c>
      <c r="H253" s="189"/>
      <c r="I253" s="472" t="s">
        <v>311</v>
      </c>
      <c r="J253" s="176"/>
      <c r="K253" s="176"/>
    </row>
    <row r="254" spans="2:11" x14ac:dyDescent="0.25">
      <c r="B254" s="187" t="s">
        <v>381</v>
      </c>
      <c r="C254" s="389"/>
      <c r="D254" s="389"/>
      <c r="E254" s="389"/>
      <c r="F254" s="389"/>
      <c r="G254" s="388" t="s">
        <v>330</v>
      </c>
      <c r="H254" s="189"/>
      <c r="I254" s="472" t="s">
        <v>311</v>
      </c>
      <c r="J254" s="176"/>
      <c r="K254" s="176"/>
    </row>
    <row r="255" spans="2:11" x14ac:dyDescent="0.25">
      <c r="B255" s="187" t="s">
        <v>450</v>
      </c>
      <c r="C255" s="389"/>
      <c r="D255" s="389"/>
      <c r="E255" s="389"/>
      <c r="F255" s="389"/>
      <c r="G255" s="388" t="s">
        <v>340</v>
      </c>
      <c r="H255" s="189"/>
      <c r="I255" s="472" t="s">
        <v>311</v>
      </c>
      <c r="J255" s="176"/>
      <c r="K255" s="176"/>
    </row>
    <row r="256" spans="2:11" x14ac:dyDescent="0.25">
      <c r="B256" s="187" t="s">
        <v>421</v>
      </c>
      <c r="C256" s="389"/>
      <c r="D256" s="389"/>
      <c r="E256" s="389"/>
      <c r="F256" s="389"/>
      <c r="G256" s="388" t="s">
        <v>104</v>
      </c>
      <c r="H256" s="189"/>
      <c r="I256" s="472" t="s">
        <v>311</v>
      </c>
      <c r="J256" s="176"/>
      <c r="K256" s="176"/>
    </row>
    <row r="257" spans="2:11" x14ac:dyDescent="0.25">
      <c r="B257" s="187" t="s">
        <v>432</v>
      </c>
      <c r="C257" s="389"/>
      <c r="D257" s="389"/>
      <c r="E257" s="389"/>
      <c r="F257" s="389"/>
      <c r="G257" s="388" t="s">
        <v>339</v>
      </c>
      <c r="H257" s="189"/>
      <c r="I257" s="472" t="s">
        <v>311</v>
      </c>
      <c r="J257" s="176"/>
      <c r="K257" s="176"/>
    </row>
    <row r="258" spans="2:11" x14ac:dyDescent="0.25">
      <c r="B258" s="187" t="s">
        <v>382</v>
      </c>
      <c r="C258" s="389"/>
      <c r="D258" s="389"/>
      <c r="E258" s="389"/>
      <c r="F258" s="389"/>
      <c r="G258" s="388" t="s">
        <v>332</v>
      </c>
      <c r="H258" s="189"/>
      <c r="I258" s="472" t="s">
        <v>311</v>
      </c>
      <c r="J258" s="176"/>
      <c r="K258" s="176"/>
    </row>
    <row r="259" spans="2:11" x14ac:dyDescent="0.25">
      <c r="B259" s="187" t="s">
        <v>451</v>
      </c>
      <c r="C259" s="389"/>
      <c r="D259" s="389"/>
      <c r="E259" s="389"/>
      <c r="F259" s="389"/>
      <c r="G259" s="388" t="s">
        <v>104</v>
      </c>
      <c r="H259" s="189"/>
      <c r="I259" s="472" t="s">
        <v>311</v>
      </c>
      <c r="J259" s="176"/>
      <c r="K259" s="176"/>
    </row>
    <row r="260" spans="2:11" x14ac:dyDescent="0.25">
      <c r="B260" s="187" t="s">
        <v>446</v>
      </c>
      <c r="C260" s="389"/>
      <c r="D260" s="389"/>
      <c r="E260" s="389"/>
      <c r="F260" s="389"/>
      <c r="G260" s="388" t="s">
        <v>335</v>
      </c>
      <c r="H260" s="189"/>
      <c r="I260" s="472" t="s">
        <v>311</v>
      </c>
      <c r="J260" s="176"/>
      <c r="K260" s="176"/>
    </row>
    <row r="261" spans="2:11" x14ac:dyDescent="0.25">
      <c r="B261" s="107" t="s">
        <v>383</v>
      </c>
      <c r="C261" s="394"/>
      <c r="D261" s="394"/>
      <c r="E261" s="394"/>
      <c r="F261" s="394"/>
      <c r="G261" s="393" t="s">
        <v>104</v>
      </c>
      <c r="H261" s="191"/>
      <c r="I261" s="476" t="s">
        <v>311</v>
      </c>
      <c r="J261" s="176"/>
      <c r="K261" s="176"/>
    </row>
    <row r="262" spans="2:11" x14ac:dyDescent="0.25">
      <c r="B262" s="285"/>
      <c r="C262" s="285"/>
      <c r="D262" s="285"/>
      <c r="E262" s="285"/>
      <c r="F262" s="285"/>
      <c r="G262" s="285"/>
      <c r="I262" s="250"/>
      <c r="J262" s="176"/>
      <c r="K262" s="176"/>
    </row>
    <row r="263" spans="2:11" x14ac:dyDescent="0.25">
      <c r="J263" s="176"/>
      <c r="K263" s="176"/>
    </row>
    <row r="264" spans="2:11" x14ac:dyDescent="0.25">
      <c r="J264" s="176"/>
      <c r="K264" s="176"/>
    </row>
    <row r="265" spans="2:11" x14ac:dyDescent="0.25">
      <c r="B265" s="132" t="s">
        <v>384</v>
      </c>
      <c r="J265" s="176"/>
      <c r="K265" s="176"/>
    </row>
    <row r="266" spans="2:11" x14ac:dyDescent="0.25">
      <c r="B266" s="463" t="s">
        <v>342</v>
      </c>
      <c r="C266" s="468"/>
      <c r="D266" s="468"/>
      <c r="E266" s="468"/>
      <c r="F266" s="467"/>
      <c r="G266" s="475" t="s">
        <v>343</v>
      </c>
      <c r="H266" s="6"/>
      <c r="I266" s="475" t="s">
        <v>524</v>
      </c>
      <c r="J266" s="176"/>
      <c r="K266" s="176"/>
    </row>
    <row r="267" spans="2:11" x14ac:dyDescent="0.25">
      <c r="B267" s="469"/>
      <c r="C267" s="470"/>
      <c r="D267" s="470"/>
      <c r="E267" s="470"/>
      <c r="F267" s="471"/>
      <c r="G267" s="469"/>
      <c r="H267" s="22"/>
      <c r="I267" s="18"/>
      <c r="J267" s="176"/>
      <c r="K267" s="176"/>
    </row>
    <row r="268" spans="2:11" x14ac:dyDescent="0.25">
      <c r="B268" s="187" t="s">
        <v>411</v>
      </c>
      <c r="C268" s="389"/>
      <c r="D268" s="389"/>
      <c r="E268" s="389"/>
      <c r="F268" s="389"/>
      <c r="G268" s="388" t="s">
        <v>393</v>
      </c>
      <c r="H268" s="189"/>
      <c r="I268" s="472" t="s">
        <v>311</v>
      </c>
      <c r="J268" s="176"/>
      <c r="K268" s="176"/>
    </row>
    <row r="269" spans="2:11" x14ac:dyDescent="0.25">
      <c r="B269" s="187" t="s">
        <v>412</v>
      </c>
      <c r="C269" s="389"/>
      <c r="D269" s="389"/>
      <c r="E269" s="389"/>
      <c r="F269" s="389"/>
      <c r="G269" s="388" t="s">
        <v>339</v>
      </c>
      <c r="H269" s="189"/>
      <c r="I269" s="472" t="s">
        <v>311</v>
      </c>
      <c r="J269" s="176"/>
      <c r="K269" s="176"/>
    </row>
    <row r="270" spans="2:11" x14ac:dyDescent="0.25">
      <c r="B270" s="187" t="s">
        <v>413</v>
      </c>
      <c r="C270" s="389"/>
      <c r="D270" s="389"/>
      <c r="E270" s="389"/>
      <c r="F270" s="389"/>
      <c r="G270" s="388" t="s">
        <v>389</v>
      </c>
      <c r="H270" s="189"/>
      <c r="I270" s="472" t="s">
        <v>311</v>
      </c>
      <c r="J270" s="176"/>
      <c r="K270" s="176"/>
    </row>
    <row r="271" spans="2:11" x14ac:dyDescent="0.25">
      <c r="B271" s="187" t="s">
        <v>415</v>
      </c>
      <c r="C271" s="389"/>
      <c r="D271" s="389"/>
      <c r="E271" s="389"/>
      <c r="F271" s="389"/>
      <c r="G271" s="388" t="s">
        <v>339</v>
      </c>
      <c r="H271" s="189"/>
      <c r="I271" s="472" t="s">
        <v>311</v>
      </c>
      <c r="J271" s="176"/>
      <c r="K271" s="176"/>
    </row>
    <row r="272" spans="2:11" x14ac:dyDescent="0.25">
      <c r="B272" s="187" t="s">
        <v>385</v>
      </c>
      <c r="C272" s="389"/>
      <c r="D272" s="389"/>
      <c r="E272" s="389"/>
      <c r="F272" s="389"/>
      <c r="G272" s="388" t="s">
        <v>388</v>
      </c>
      <c r="H272" s="189"/>
      <c r="I272" s="472" t="s">
        <v>311</v>
      </c>
      <c r="J272" s="176"/>
      <c r="K272" s="176"/>
    </row>
    <row r="273" spans="2:11" x14ac:dyDescent="0.25">
      <c r="B273" s="187" t="s">
        <v>390</v>
      </c>
      <c r="C273" s="389"/>
      <c r="D273" s="389"/>
      <c r="E273" s="389"/>
      <c r="F273" s="389"/>
      <c r="G273" s="388" t="s">
        <v>391</v>
      </c>
      <c r="H273" s="189"/>
      <c r="I273" s="472" t="s">
        <v>737</v>
      </c>
      <c r="J273" s="176"/>
      <c r="K273" s="176"/>
    </row>
    <row r="274" spans="2:11" x14ac:dyDescent="0.25">
      <c r="B274" s="187" t="s">
        <v>390</v>
      </c>
      <c r="C274" s="389"/>
      <c r="D274" s="389"/>
      <c r="E274" s="389"/>
      <c r="F274" s="389"/>
      <c r="G274" s="388" t="s">
        <v>392</v>
      </c>
      <c r="H274" s="189"/>
      <c r="I274" s="472" t="s">
        <v>737</v>
      </c>
      <c r="J274" s="176"/>
      <c r="K274" s="176"/>
    </row>
    <row r="275" spans="2:11" x14ac:dyDescent="0.25">
      <c r="B275" s="187" t="s">
        <v>420</v>
      </c>
      <c r="C275" s="389"/>
      <c r="D275" s="389"/>
      <c r="E275" s="389"/>
      <c r="F275" s="389"/>
      <c r="G275" s="388" t="s">
        <v>393</v>
      </c>
      <c r="H275" s="189"/>
      <c r="I275" s="472" t="s">
        <v>311</v>
      </c>
      <c r="J275" s="176"/>
      <c r="K275" s="176"/>
    </row>
    <row r="276" spans="2:11" x14ac:dyDescent="0.25">
      <c r="B276" s="187" t="s">
        <v>394</v>
      </c>
      <c r="C276" s="389"/>
      <c r="D276" s="389"/>
      <c r="E276" s="389"/>
      <c r="F276" s="389"/>
      <c r="G276" s="388" t="s">
        <v>391</v>
      </c>
      <c r="H276" s="189"/>
      <c r="I276" s="472" t="s">
        <v>737</v>
      </c>
      <c r="J276" s="176"/>
      <c r="K276" s="176"/>
    </row>
    <row r="277" spans="2:11" x14ac:dyDescent="0.25">
      <c r="B277" s="187" t="s">
        <v>394</v>
      </c>
      <c r="C277" s="389"/>
      <c r="D277" s="389"/>
      <c r="E277" s="389"/>
      <c r="F277" s="389"/>
      <c r="G277" s="388" t="s">
        <v>392</v>
      </c>
      <c r="H277" s="189"/>
      <c r="I277" s="472" t="s">
        <v>737</v>
      </c>
      <c r="J277" s="176"/>
      <c r="K277" s="176"/>
    </row>
    <row r="278" spans="2:11" x14ac:dyDescent="0.25">
      <c r="B278" s="187" t="s">
        <v>423</v>
      </c>
      <c r="C278" s="389"/>
      <c r="D278" s="389"/>
      <c r="E278" s="389"/>
      <c r="F278" s="389"/>
      <c r="G278" s="388" t="s">
        <v>391</v>
      </c>
      <c r="H278" s="189"/>
      <c r="I278" s="472" t="s">
        <v>737</v>
      </c>
      <c r="J278" s="176"/>
      <c r="K278" s="176"/>
    </row>
    <row r="279" spans="2:11" x14ac:dyDescent="0.25">
      <c r="B279" s="187" t="s">
        <v>423</v>
      </c>
      <c r="C279" s="389"/>
      <c r="D279" s="389"/>
      <c r="E279" s="389"/>
      <c r="F279" s="389"/>
      <c r="G279" s="388" t="s">
        <v>392</v>
      </c>
      <c r="H279" s="189"/>
      <c r="I279" s="472" t="s">
        <v>737</v>
      </c>
      <c r="J279" s="176"/>
      <c r="K279" s="176"/>
    </row>
    <row r="280" spans="2:11" x14ac:dyDescent="0.25">
      <c r="B280" s="187" t="s">
        <v>395</v>
      </c>
      <c r="C280" s="389"/>
      <c r="D280" s="389"/>
      <c r="E280" s="389"/>
      <c r="F280" s="389"/>
      <c r="G280" s="388" t="s">
        <v>389</v>
      </c>
      <c r="H280" s="189"/>
      <c r="I280" s="472" t="s">
        <v>311</v>
      </c>
      <c r="J280" s="176"/>
      <c r="K280" s="176"/>
    </row>
    <row r="281" spans="2:11" x14ac:dyDescent="0.25">
      <c r="B281" s="187" t="s">
        <v>396</v>
      </c>
      <c r="C281" s="389"/>
      <c r="D281" s="389"/>
      <c r="E281" s="389"/>
      <c r="F281" s="389"/>
      <c r="G281" s="388" t="s">
        <v>389</v>
      </c>
      <c r="H281" s="189"/>
      <c r="I281" s="472" t="s">
        <v>311</v>
      </c>
      <c r="J281" s="176"/>
      <c r="K281" s="176"/>
    </row>
    <row r="282" spans="2:11" x14ac:dyDescent="0.25">
      <c r="B282" s="187" t="s">
        <v>397</v>
      </c>
      <c r="C282" s="389"/>
      <c r="D282" s="389"/>
      <c r="E282" s="389"/>
      <c r="F282" s="389"/>
      <c r="G282" s="388" t="s">
        <v>391</v>
      </c>
      <c r="H282" s="189"/>
      <c r="I282" s="472" t="s">
        <v>737</v>
      </c>
      <c r="J282" s="176"/>
      <c r="K282" s="176"/>
    </row>
    <row r="283" spans="2:11" x14ac:dyDescent="0.25">
      <c r="B283" s="187" t="s">
        <v>397</v>
      </c>
      <c r="C283" s="389"/>
      <c r="D283" s="389"/>
      <c r="E283" s="389"/>
      <c r="F283" s="389"/>
      <c r="G283" s="388" t="s">
        <v>392</v>
      </c>
      <c r="H283" s="189"/>
      <c r="I283" s="472" t="s">
        <v>737</v>
      </c>
      <c r="J283" s="176"/>
      <c r="K283" s="176"/>
    </row>
    <row r="284" spans="2:11" x14ac:dyDescent="0.25">
      <c r="B284" s="187" t="s">
        <v>398</v>
      </c>
      <c r="C284" s="389"/>
      <c r="D284" s="389"/>
      <c r="E284" s="389"/>
      <c r="F284" s="389"/>
      <c r="G284" s="388" t="s">
        <v>389</v>
      </c>
      <c r="H284" s="189"/>
      <c r="I284" s="472" t="s">
        <v>311</v>
      </c>
      <c r="J284" s="176"/>
      <c r="K284" s="176"/>
    </row>
    <row r="285" spans="2:11" x14ac:dyDescent="0.25">
      <c r="B285" s="187" t="s">
        <v>399</v>
      </c>
      <c r="C285" s="389"/>
      <c r="D285" s="389"/>
      <c r="E285" s="389"/>
      <c r="F285" s="389"/>
      <c r="G285" s="388" t="s">
        <v>388</v>
      </c>
      <c r="H285" s="189"/>
      <c r="I285" s="472" t="s">
        <v>311</v>
      </c>
      <c r="J285" s="176"/>
      <c r="K285" s="176"/>
    </row>
    <row r="286" spans="2:11" x14ac:dyDescent="0.25">
      <c r="B286" s="107" t="s">
        <v>417</v>
      </c>
      <c r="C286" s="394"/>
      <c r="D286" s="394"/>
      <c r="E286" s="394"/>
      <c r="F286" s="394"/>
      <c r="G286" s="393" t="s">
        <v>389</v>
      </c>
      <c r="H286" s="191"/>
      <c r="I286" s="474" t="s">
        <v>311</v>
      </c>
      <c r="J286" s="176"/>
      <c r="K286" s="176"/>
    </row>
    <row r="287" spans="2:11" x14ac:dyDescent="0.25">
      <c r="B287" s="176"/>
      <c r="C287" s="176"/>
      <c r="D287" s="176"/>
      <c r="E287" s="176"/>
      <c r="F287" s="176"/>
      <c r="G287" s="176"/>
      <c r="H287" s="176"/>
      <c r="I287" s="176"/>
      <c r="J287" s="176"/>
      <c r="K287" s="176"/>
    </row>
    <row r="288" spans="2:11" x14ac:dyDescent="0.25">
      <c r="B288" s="176"/>
      <c r="C288" s="176"/>
      <c r="D288" s="176"/>
      <c r="E288" s="176"/>
      <c r="F288" s="176"/>
      <c r="G288" s="176"/>
      <c r="H288" s="176"/>
      <c r="I288" s="176"/>
      <c r="J288" s="176"/>
      <c r="K288" s="176"/>
    </row>
    <row r="289" spans="2:12" x14ac:dyDescent="0.25">
      <c r="B289" s="285"/>
      <c r="C289" s="285"/>
      <c r="D289" s="285"/>
      <c r="E289" s="285"/>
      <c r="F289" s="285"/>
      <c r="G289" s="285"/>
      <c r="H289" s="250"/>
      <c r="L289" s="132" t="str">
        <f>+CONCATENATE(B289,J289,C289,K289)</f>
        <v/>
      </c>
    </row>
    <row r="290" spans="2:12" x14ac:dyDescent="0.25">
      <c r="B290" s="132" t="s">
        <v>400</v>
      </c>
      <c r="H290" s="250"/>
    </row>
    <row r="291" spans="2:12" ht="25.5" customHeight="1" x14ac:dyDescent="0.25">
      <c r="B291" s="755" t="s">
        <v>343</v>
      </c>
      <c r="C291" s="756"/>
      <c r="D291" s="759" t="s">
        <v>401</v>
      </c>
      <c r="E291" s="760"/>
      <c r="F291" s="761"/>
      <c r="G291" s="759" t="s">
        <v>294</v>
      </c>
      <c r="H291" s="760"/>
      <c r="I291" s="761"/>
    </row>
    <row r="292" spans="2:12" ht="43.5" customHeight="1" x14ac:dyDescent="0.25">
      <c r="B292" s="762"/>
      <c r="C292" s="763"/>
      <c r="D292" s="438" t="s">
        <v>526</v>
      </c>
      <c r="E292" s="438" t="s">
        <v>402</v>
      </c>
      <c r="F292" s="438" t="str">
        <f>+"Indexed rate ($/unit) "&amp;Summary!D14</f>
        <v>Indexed rate ($/unit) 45627</v>
      </c>
      <c r="G292" s="438" t="s">
        <v>403</v>
      </c>
      <c r="H292" s="438" t="s">
        <v>404</v>
      </c>
      <c r="I292" s="438" t="str">
        <f>+"Indexed rate ($/unit) "&amp;Summary!D14</f>
        <v>Indexed rate ($/unit) 45627</v>
      </c>
    </row>
    <row r="293" spans="2:12" x14ac:dyDescent="0.25">
      <c r="B293" s="469" t="s">
        <v>329</v>
      </c>
      <c r="C293" s="22"/>
      <c r="D293" s="199" t="s">
        <v>405</v>
      </c>
      <c r="E293" s="297">
        <v>70</v>
      </c>
      <c r="F293" s="298">
        <f>+E293/$C$306*Summary!$D$17</f>
        <v>70</v>
      </c>
      <c r="G293" s="477">
        <v>0.2</v>
      </c>
      <c r="H293" s="18">
        <v>10</v>
      </c>
      <c r="I293" s="298">
        <f>+H293/$C$306*Summary!$D$17</f>
        <v>9.9999999999999982</v>
      </c>
    </row>
    <row r="294" spans="2:12" x14ac:dyDescent="0.25">
      <c r="B294" s="388" t="s">
        <v>330</v>
      </c>
      <c r="C294" s="189"/>
      <c r="D294" s="231" t="s">
        <v>405</v>
      </c>
      <c r="E294" s="298">
        <v>140</v>
      </c>
      <c r="F294" s="298">
        <f>+E294/$C$306*Summary!$D$17</f>
        <v>140</v>
      </c>
      <c r="G294" s="478">
        <v>0.9</v>
      </c>
      <c r="H294" s="192">
        <v>10</v>
      </c>
      <c r="I294" s="298">
        <f>+H294/$C$306*Summary!$D$17</f>
        <v>9.9999999999999982</v>
      </c>
    </row>
    <row r="295" spans="2:12" x14ac:dyDescent="0.25">
      <c r="B295" s="388" t="s">
        <v>331</v>
      </c>
      <c r="C295" s="189"/>
      <c r="D295" s="231" t="s">
        <v>405</v>
      </c>
      <c r="E295" s="298">
        <v>140</v>
      </c>
      <c r="F295" s="298">
        <f>+E295/$C$306*Summary!$D$17</f>
        <v>140</v>
      </c>
      <c r="G295" s="478">
        <v>0.9</v>
      </c>
      <c r="H295" s="192">
        <v>10</v>
      </c>
      <c r="I295" s="298">
        <f>+H295/$C$306*Summary!$D$17</f>
        <v>9.9999999999999982</v>
      </c>
    </row>
    <row r="296" spans="2:12" x14ac:dyDescent="0.25">
      <c r="B296" s="388" t="s">
        <v>332</v>
      </c>
      <c r="C296" s="189"/>
      <c r="D296" s="231" t="s">
        <v>405</v>
      </c>
      <c r="E296" s="298">
        <v>180</v>
      </c>
      <c r="F296" s="298">
        <f>+E296/$C$306*Summary!$D$17</f>
        <v>180</v>
      </c>
      <c r="G296" s="478">
        <v>0.9</v>
      </c>
      <c r="H296" s="192">
        <v>10</v>
      </c>
      <c r="I296" s="298">
        <f>+H296/$C$306*Summary!$D$17</f>
        <v>9.9999999999999982</v>
      </c>
    </row>
    <row r="297" spans="2:12" x14ac:dyDescent="0.25">
      <c r="B297" s="388" t="s">
        <v>333</v>
      </c>
      <c r="C297" s="189"/>
      <c r="D297" s="231" t="s">
        <v>405</v>
      </c>
      <c r="E297" s="298">
        <v>140</v>
      </c>
      <c r="F297" s="298">
        <f>+E297/$C$306*Summary!$D$17</f>
        <v>140</v>
      </c>
      <c r="G297" s="478">
        <v>0.2</v>
      </c>
      <c r="H297" s="192">
        <v>10</v>
      </c>
      <c r="I297" s="298">
        <f>+H297/$C$306*Summary!$D$17</f>
        <v>9.9999999999999982</v>
      </c>
    </row>
    <row r="298" spans="2:12" x14ac:dyDescent="0.25">
      <c r="B298" s="388" t="s">
        <v>334</v>
      </c>
      <c r="C298" s="189"/>
      <c r="D298" s="231" t="s">
        <v>405</v>
      </c>
      <c r="E298" s="298">
        <v>200</v>
      </c>
      <c r="F298" s="298">
        <f>+E298/$C$306*Summary!$D$17</f>
        <v>200</v>
      </c>
      <c r="G298" s="478">
        <v>1</v>
      </c>
      <c r="H298" s="192">
        <v>10</v>
      </c>
      <c r="I298" s="298">
        <f>+H298/$C$306*Summary!$D$17</f>
        <v>9.9999999999999982</v>
      </c>
    </row>
    <row r="299" spans="2:12" x14ac:dyDescent="0.25">
      <c r="B299" s="388" t="s">
        <v>335</v>
      </c>
      <c r="C299" s="189"/>
      <c r="D299" s="231" t="s">
        <v>405</v>
      </c>
      <c r="E299" s="298">
        <v>140</v>
      </c>
      <c r="F299" s="298">
        <f>+E299/$C$306*Summary!$D$17</f>
        <v>140</v>
      </c>
      <c r="G299" s="478">
        <v>0</v>
      </c>
      <c r="H299" s="478">
        <v>10</v>
      </c>
      <c r="I299" s="298">
        <f>+H299/$C$306*Summary!$D$17</f>
        <v>9.9999999999999982</v>
      </c>
    </row>
    <row r="300" spans="2:12" x14ac:dyDescent="0.25">
      <c r="B300" s="388" t="s">
        <v>336</v>
      </c>
      <c r="C300" s="189"/>
      <c r="D300" s="231" t="s">
        <v>405</v>
      </c>
      <c r="E300" s="298">
        <v>70</v>
      </c>
      <c r="F300" s="298">
        <f>+E300/$C$306*Summary!$D$17</f>
        <v>70</v>
      </c>
      <c r="G300" s="478">
        <v>0.9</v>
      </c>
      <c r="H300" s="192">
        <v>10</v>
      </c>
      <c r="I300" s="298">
        <f>+H300/$C$306*Summary!$D$17</f>
        <v>9.9999999999999982</v>
      </c>
    </row>
    <row r="301" spans="2:12" x14ac:dyDescent="0.25">
      <c r="B301" s="388" t="s">
        <v>337</v>
      </c>
      <c r="C301" s="189" t="s">
        <v>406</v>
      </c>
      <c r="D301" s="231" t="s">
        <v>405</v>
      </c>
      <c r="E301" s="298">
        <v>20</v>
      </c>
      <c r="F301" s="298">
        <f>+E301/$C$306*Summary!$D$17</f>
        <v>19.999999999999996</v>
      </c>
      <c r="G301" s="478">
        <v>0</v>
      </c>
      <c r="H301" s="478">
        <v>0</v>
      </c>
      <c r="I301" s="298">
        <f>+H301/$C$306*Summary!$D$17</f>
        <v>0</v>
      </c>
    </row>
    <row r="302" spans="2:12" x14ac:dyDescent="0.25">
      <c r="B302" s="388" t="s">
        <v>104</v>
      </c>
      <c r="C302" s="189"/>
      <c r="D302" s="231" t="s">
        <v>405</v>
      </c>
      <c r="E302" s="298">
        <v>50</v>
      </c>
      <c r="F302" s="298">
        <f>+E302/$C$306*Summary!$D$17</f>
        <v>50</v>
      </c>
      <c r="G302" s="478">
        <v>0.9</v>
      </c>
      <c r="H302" s="192">
        <v>10</v>
      </c>
      <c r="I302" s="298">
        <f>+H302/$C$306*Summary!$D$17</f>
        <v>9.9999999999999982</v>
      </c>
    </row>
    <row r="303" spans="2:12" x14ac:dyDescent="0.25">
      <c r="B303" s="388" t="s">
        <v>338</v>
      </c>
      <c r="C303" s="189"/>
      <c r="D303" s="231" t="s">
        <v>405</v>
      </c>
      <c r="E303" s="298">
        <v>0</v>
      </c>
      <c r="F303" s="298">
        <f>+E303/$C$306*Summary!$D$17</f>
        <v>0</v>
      </c>
      <c r="G303" s="478">
        <v>0</v>
      </c>
      <c r="H303" s="478">
        <v>0</v>
      </c>
      <c r="I303" s="298">
        <f>+H303/$C$306*Summary!$D$17</f>
        <v>0</v>
      </c>
    </row>
    <row r="304" spans="2:12" x14ac:dyDescent="0.25">
      <c r="B304" s="388" t="s">
        <v>339</v>
      </c>
      <c r="C304" s="189"/>
      <c r="D304" s="231" t="s">
        <v>405</v>
      </c>
      <c r="E304" s="298">
        <v>0</v>
      </c>
      <c r="F304" s="298">
        <f>+E304/$C$306*Summary!$D$17</f>
        <v>0</v>
      </c>
      <c r="G304" s="478">
        <v>0</v>
      </c>
      <c r="H304" s="478">
        <v>0</v>
      </c>
      <c r="I304" s="298">
        <f>+H304/$C$306*Summary!$D$17</f>
        <v>0</v>
      </c>
    </row>
    <row r="305" spans="2:9" x14ac:dyDescent="0.25">
      <c r="B305" s="393" t="s">
        <v>340</v>
      </c>
      <c r="C305" s="191"/>
      <c r="D305" s="244" t="s">
        <v>832</v>
      </c>
      <c r="E305" s="479" t="s">
        <v>832</v>
      </c>
      <c r="F305" s="479" t="s">
        <v>832</v>
      </c>
      <c r="G305" s="480" t="s">
        <v>832</v>
      </c>
      <c r="H305" s="106">
        <v>10</v>
      </c>
      <c r="I305" s="480" t="s">
        <v>832</v>
      </c>
    </row>
    <row r="306" spans="2:9" x14ac:dyDescent="0.25">
      <c r="B306" s="132" t="s">
        <v>407</v>
      </c>
      <c r="C306" s="495">
        <f>Summary!D17</f>
        <v>141.1</v>
      </c>
      <c r="D306" s="176"/>
    </row>
    <row r="311" spans="2:9" x14ac:dyDescent="0.25">
      <c r="B311" s="132" t="s">
        <v>408</v>
      </c>
    </row>
    <row r="312" spans="2:9" ht="25.5" customHeight="1" x14ac:dyDescent="0.25">
      <c r="B312" s="755" t="s">
        <v>343</v>
      </c>
      <c r="C312" s="756"/>
      <c r="D312" s="759" t="s">
        <v>308</v>
      </c>
      <c r="E312" s="760"/>
      <c r="F312" s="761"/>
    </row>
    <row r="313" spans="2:9" ht="39.6" x14ac:dyDescent="0.25">
      <c r="B313" s="757"/>
      <c r="C313" s="758"/>
      <c r="D313" s="438" t="s">
        <v>526</v>
      </c>
      <c r="E313" s="438" t="s">
        <v>402</v>
      </c>
      <c r="F313" s="438" t="str">
        <f>+"Indexed rate ($/unit) "&amp;Summary!D14</f>
        <v>Indexed rate ($/unit) 45627</v>
      </c>
    </row>
    <row r="314" spans="2:9" x14ac:dyDescent="0.25">
      <c r="B314" s="481" t="s">
        <v>388</v>
      </c>
      <c r="C314" s="22"/>
      <c r="D314" s="482" t="s">
        <v>409</v>
      </c>
      <c r="E314" s="297">
        <v>28000</v>
      </c>
      <c r="F314" s="297">
        <f>+E314/$C$318*Summary!$D$17</f>
        <v>28000</v>
      </c>
    </row>
    <row r="315" spans="2:9" x14ac:dyDescent="0.25">
      <c r="B315" s="483" t="s">
        <v>391</v>
      </c>
      <c r="C315" s="189"/>
      <c r="D315" s="484" t="s">
        <v>679</v>
      </c>
      <c r="E315" s="298">
        <v>20000</v>
      </c>
      <c r="F315" s="298">
        <f>+E315/$C$318*Summary!$D$17</f>
        <v>20000</v>
      </c>
    </row>
    <row r="316" spans="2:9" x14ac:dyDescent="0.25">
      <c r="B316" s="483" t="s">
        <v>392</v>
      </c>
      <c r="C316" s="189"/>
      <c r="D316" s="484" t="s">
        <v>679</v>
      </c>
      <c r="E316" s="298">
        <v>28000</v>
      </c>
      <c r="F316" s="298">
        <f>+E316/$C$318*Summary!$D$17</f>
        <v>28000</v>
      </c>
    </row>
    <row r="317" spans="2:9" ht="12.75" customHeight="1" x14ac:dyDescent="0.25">
      <c r="B317" s="485" t="s">
        <v>389</v>
      </c>
      <c r="C317" s="191"/>
      <c r="D317" s="486" t="s">
        <v>409</v>
      </c>
      <c r="E317" s="487">
        <v>14000</v>
      </c>
      <c r="F317" s="487">
        <f>+E317/$C$318*Summary!$D$17</f>
        <v>14000</v>
      </c>
    </row>
    <row r="318" spans="2:9" x14ac:dyDescent="0.25">
      <c r="B318" s="132" t="s">
        <v>407</v>
      </c>
      <c r="C318" s="495">
        <f>+C306</f>
        <v>141.1</v>
      </c>
    </row>
  </sheetData>
  <sheetProtection password="CDF4" sheet="1" objects="1" scenarios="1"/>
  <mergeCells count="19">
    <mergeCell ref="B312:C313"/>
    <mergeCell ref="D312:F312"/>
    <mergeCell ref="L84:P84"/>
    <mergeCell ref="B97:E98"/>
    <mergeCell ref="F97:G98"/>
    <mergeCell ref="H97:K97"/>
    <mergeCell ref="B84:E85"/>
    <mergeCell ref="F84:G85"/>
    <mergeCell ref="H84:K84"/>
    <mergeCell ref="B291:C292"/>
    <mergeCell ref="D291:F291"/>
    <mergeCell ref="G291:I291"/>
    <mergeCell ref="B38:E39"/>
    <mergeCell ref="F38:G39"/>
    <mergeCell ref="H38:K38"/>
    <mergeCell ref="L38:P38"/>
    <mergeCell ref="B51:E52"/>
    <mergeCell ref="F51:G52"/>
    <mergeCell ref="H51:K51"/>
  </mergeCells>
  <phoneticPr fontId="4" type="noConversion"/>
  <dataValidations disablePrompts="1" count="1">
    <dataValidation type="list" allowBlank="1" showInputMessage="1" showErrorMessage="1" sqref="G186:G261 G268:G286" xr:uid="{00000000-0002-0000-0C00-000000000000}">
      <formula1>$B$167:$B$181</formula1>
    </dataValidation>
  </dataValidations>
  <pageMargins left="0.75" right="0.75" top="1" bottom="1" header="0.5" footer="0.5"/>
  <pageSetup paperSize="9" orientation="portrait" r:id="rId1"/>
  <headerFooter alignWithMargins="0"/>
  <ignoredErrors>
    <ignoredError sqref="A9 A16:A17 A26 A35:A36 A49 A62 A81 A131 A95" numberStoredAsText="1"/>
    <ignoredError sqref="G65:G70 G113:G117" formula="1"/>
    <ignoredError sqref="E14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sizeWithCells="1">
                  <from>
                    <xdr:col>0</xdr:col>
                    <xdr:colOff>198120</xdr:colOff>
                    <xdr:row>9</xdr:row>
                    <xdr:rowOff>0</xdr:rowOff>
                  </from>
                  <to>
                    <xdr:col>14</xdr:col>
                    <xdr:colOff>160020</xdr:colOff>
                    <xdr:row>9</xdr:row>
                    <xdr:rowOff>182880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sizeWithCells="1">
                  <from>
                    <xdr:col>0</xdr:col>
                    <xdr:colOff>198120</xdr:colOff>
                    <xdr:row>10</xdr:row>
                    <xdr:rowOff>182880</xdr:rowOff>
                  </from>
                  <to>
                    <xdr:col>9</xdr:col>
                    <xdr:colOff>388620</xdr:colOff>
                    <xdr:row>11</xdr:row>
                    <xdr:rowOff>182880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sizeWithCells="1">
                  <from>
                    <xdr:col>0</xdr:col>
                    <xdr:colOff>198120</xdr:colOff>
                    <xdr:row>13</xdr:row>
                    <xdr:rowOff>0</xdr:rowOff>
                  </from>
                  <to>
                    <xdr:col>9</xdr:col>
                    <xdr:colOff>388620</xdr:colOff>
                    <xdr:row>14</xdr:row>
                    <xdr:rowOff>7620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sizeWithCells="1">
                  <from>
                    <xdr:col>0</xdr:col>
                    <xdr:colOff>198120</xdr:colOff>
                    <xdr:row>9</xdr:row>
                    <xdr:rowOff>190500</xdr:rowOff>
                  </from>
                  <to>
                    <xdr:col>7</xdr:col>
                    <xdr:colOff>137160</xdr:colOff>
                    <xdr:row>10</xdr:row>
                    <xdr:rowOff>190500</xdr:rowOff>
                  </to>
                </anchor>
              </controlPr>
            </control>
          </mc:Choice>
        </mc:AlternateContent>
        <mc:AlternateContent xmlns:mc="http://schemas.openxmlformats.org/markup-compatibility/2006">
          <mc:Choice Requires="x14">
            <control shapeId="18440" r:id="rId8" name="Drop Down 8">
              <controlPr locked="0" defaultSize="0" autoLine="0" autoPict="0">
                <anchor moveWithCells="1">
                  <from>
                    <xdr:col>1</xdr:col>
                    <xdr:colOff>0</xdr:colOff>
                    <xdr:row>39</xdr:row>
                    <xdr:rowOff>7620</xdr:rowOff>
                  </from>
                  <to>
                    <xdr:col>5</xdr:col>
                    <xdr:colOff>22860</xdr:colOff>
                    <xdr:row>40</xdr:row>
                    <xdr:rowOff>30480</xdr:rowOff>
                  </to>
                </anchor>
              </controlPr>
            </control>
          </mc:Choice>
        </mc:AlternateContent>
        <mc:AlternateContent xmlns:mc="http://schemas.openxmlformats.org/markup-compatibility/2006">
          <mc:Choice Requires="x14">
            <control shapeId="18441" r:id="rId9" name="Drop Down 9">
              <controlPr locked="0" defaultSize="0" autoLine="0" autoPict="0">
                <anchor moveWithCells="1">
                  <from>
                    <xdr:col>1</xdr:col>
                    <xdr:colOff>0</xdr:colOff>
                    <xdr:row>40</xdr:row>
                    <xdr:rowOff>22860</xdr:rowOff>
                  </from>
                  <to>
                    <xdr:col>5</xdr:col>
                    <xdr:colOff>30480</xdr:colOff>
                    <xdr:row>41</xdr:row>
                    <xdr:rowOff>22860</xdr:rowOff>
                  </to>
                </anchor>
              </controlPr>
            </control>
          </mc:Choice>
        </mc:AlternateContent>
        <mc:AlternateContent xmlns:mc="http://schemas.openxmlformats.org/markup-compatibility/2006">
          <mc:Choice Requires="x14">
            <control shapeId="18442" r:id="rId10" name="Drop Down 10">
              <controlPr locked="0" defaultSize="0" autoLine="0" autoPict="0">
                <anchor moveWithCells="1">
                  <from>
                    <xdr:col>1</xdr:col>
                    <xdr:colOff>0</xdr:colOff>
                    <xdr:row>41</xdr:row>
                    <xdr:rowOff>0</xdr:rowOff>
                  </from>
                  <to>
                    <xdr:col>5</xdr:col>
                    <xdr:colOff>38100</xdr:colOff>
                    <xdr:row>42</xdr:row>
                    <xdr:rowOff>7620</xdr:rowOff>
                  </to>
                </anchor>
              </controlPr>
            </control>
          </mc:Choice>
        </mc:AlternateContent>
        <mc:AlternateContent xmlns:mc="http://schemas.openxmlformats.org/markup-compatibility/2006">
          <mc:Choice Requires="x14">
            <control shapeId="18443" r:id="rId11" name="Drop Down 11">
              <controlPr locked="0" defaultSize="0" autoLine="0" autoPict="0">
                <anchor moveWithCells="1">
                  <from>
                    <xdr:col>1</xdr:col>
                    <xdr:colOff>0</xdr:colOff>
                    <xdr:row>42</xdr:row>
                    <xdr:rowOff>0</xdr:rowOff>
                  </from>
                  <to>
                    <xdr:col>5</xdr:col>
                    <xdr:colOff>30480</xdr:colOff>
                    <xdr:row>43</xdr:row>
                    <xdr:rowOff>7620</xdr:rowOff>
                  </to>
                </anchor>
              </controlPr>
            </control>
          </mc:Choice>
        </mc:AlternateContent>
        <mc:AlternateContent xmlns:mc="http://schemas.openxmlformats.org/markup-compatibility/2006">
          <mc:Choice Requires="x14">
            <control shapeId="18444" r:id="rId12" name="Drop Down 12">
              <controlPr locked="0" defaultSize="0" autoLine="0" autoPict="0">
                <anchor moveWithCells="1">
                  <from>
                    <xdr:col>1</xdr:col>
                    <xdr:colOff>0</xdr:colOff>
                    <xdr:row>43</xdr:row>
                    <xdr:rowOff>0</xdr:rowOff>
                  </from>
                  <to>
                    <xdr:col>5</xdr:col>
                    <xdr:colOff>22860</xdr:colOff>
                    <xdr:row>44</xdr:row>
                    <xdr:rowOff>7620</xdr:rowOff>
                  </to>
                </anchor>
              </controlPr>
            </control>
          </mc:Choice>
        </mc:AlternateContent>
        <mc:AlternateContent xmlns:mc="http://schemas.openxmlformats.org/markup-compatibility/2006">
          <mc:Choice Requires="x14">
            <control shapeId="18445" r:id="rId13" name="Drop Down 13">
              <controlPr locked="0" defaultSize="0" autoLine="0" autoPict="0">
                <anchor moveWithCells="1">
                  <from>
                    <xdr:col>1</xdr:col>
                    <xdr:colOff>0</xdr:colOff>
                    <xdr:row>52</xdr:row>
                    <xdr:rowOff>7620</xdr:rowOff>
                  </from>
                  <to>
                    <xdr:col>5</xdr:col>
                    <xdr:colOff>22860</xdr:colOff>
                    <xdr:row>53</xdr:row>
                    <xdr:rowOff>7620</xdr:rowOff>
                  </to>
                </anchor>
              </controlPr>
            </control>
          </mc:Choice>
        </mc:AlternateContent>
        <mc:AlternateContent xmlns:mc="http://schemas.openxmlformats.org/markup-compatibility/2006">
          <mc:Choice Requires="x14">
            <control shapeId="18446" r:id="rId14" name="Drop Down 14">
              <controlPr locked="0" defaultSize="0" autoLine="0" autoPict="0">
                <anchor moveWithCells="1">
                  <from>
                    <xdr:col>1</xdr:col>
                    <xdr:colOff>0</xdr:colOff>
                    <xdr:row>53</xdr:row>
                    <xdr:rowOff>7620</xdr:rowOff>
                  </from>
                  <to>
                    <xdr:col>5</xdr:col>
                    <xdr:colOff>22860</xdr:colOff>
                    <xdr:row>54</xdr:row>
                    <xdr:rowOff>22860</xdr:rowOff>
                  </to>
                </anchor>
              </controlPr>
            </control>
          </mc:Choice>
        </mc:AlternateContent>
        <mc:AlternateContent xmlns:mc="http://schemas.openxmlformats.org/markup-compatibility/2006">
          <mc:Choice Requires="x14">
            <control shapeId="18447" r:id="rId15" name="Drop Down 15">
              <controlPr locked="0" defaultSize="0" autoLine="0" autoPict="0">
                <anchor moveWithCells="1">
                  <from>
                    <xdr:col>1</xdr:col>
                    <xdr:colOff>0</xdr:colOff>
                    <xdr:row>54</xdr:row>
                    <xdr:rowOff>0</xdr:rowOff>
                  </from>
                  <to>
                    <xdr:col>5</xdr:col>
                    <xdr:colOff>22860</xdr:colOff>
                    <xdr:row>55</xdr:row>
                    <xdr:rowOff>7620</xdr:rowOff>
                  </to>
                </anchor>
              </controlPr>
            </control>
          </mc:Choice>
        </mc:AlternateContent>
        <mc:AlternateContent xmlns:mc="http://schemas.openxmlformats.org/markup-compatibility/2006">
          <mc:Choice Requires="x14">
            <control shapeId="18448" r:id="rId16" name="Drop Down 16">
              <controlPr locked="0" defaultSize="0" autoLine="0" autoPict="0">
                <anchor moveWithCells="1">
                  <from>
                    <xdr:col>1</xdr:col>
                    <xdr:colOff>0</xdr:colOff>
                    <xdr:row>55</xdr:row>
                    <xdr:rowOff>0</xdr:rowOff>
                  </from>
                  <to>
                    <xdr:col>5</xdr:col>
                    <xdr:colOff>30480</xdr:colOff>
                    <xdr:row>56</xdr:row>
                    <xdr:rowOff>7620</xdr:rowOff>
                  </to>
                </anchor>
              </controlPr>
            </control>
          </mc:Choice>
        </mc:AlternateContent>
        <mc:AlternateContent xmlns:mc="http://schemas.openxmlformats.org/markup-compatibility/2006">
          <mc:Choice Requires="x14">
            <control shapeId="18449" r:id="rId17" name="Drop Down 17">
              <controlPr locked="0" defaultSize="0" autoLine="0" autoPict="0">
                <anchor moveWithCells="1">
                  <from>
                    <xdr:col>1</xdr:col>
                    <xdr:colOff>0</xdr:colOff>
                    <xdr:row>56</xdr:row>
                    <xdr:rowOff>0</xdr:rowOff>
                  </from>
                  <to>
                    <xdr:col>3</xdr:col>
                    <xdr:colOff>160020</xdr:colOff>
                    <xdr:row>57</xdr:row>
                    <xdr:rowOff>7620</xdr:rowOff>
                  </to>
                </anchor>
              </controlPr>
            </control>
          </mc:Choice>
        </mc:AlternateContent>
        <mc:AlternateContent xmlns:mc="http://schemas.openxmlformats.org/markup-compatibility/2006">
          <mc:Choice Requires="x14">
            <control shapeId="18450" r:id="rId18" name="Drop Down 18">
              <controlPr locked="0" defaultSize="0" autoLine="0" autoPict="0">
                <anchor moveWithCells="1">
                  <from>
                    <xdr:col>1</xdr:col>
                    <xdr:colOff>0</xdr:colOff>
                    <xdr:row>56</xdr:row>
                    <xdr:rowOff>0</xdr:rowOff>
                  </from>
                  <to>
                    <xdr:col>5</xdr:col>
                    <xdr:colOff>22860</xdr:colOff>
                    <xdr:row>57</xdr:row>
                    <xdr:rowOff>7620</xdr:rowOff>
                  </to>
                </anchor>
              </controlPr>
            </control>
          </mc:Choice>
        </mc:AlternateContent>
        <mc:AlternateContent xmlns:mc="http://schemas.openxmlformats.org/markup-compatibility/2006">
          <mc:Choice Requires="x14">
            <control shapeId="18451" r:id="rId19" name="Drop Down 19">
              <controlPr locked="0" defaultSize="0" autoLine="0" autoPict="0">
                <anchor moveWithCells="1">
                  <from>
                    <xdr:col>1</xdr:col>
                    <xdr:colOff>0</xdr:colOff>
                    <xdr:row>85</xdr:row>
                    <xdr:rowOff>7620</xdr:rowOff>
                  </from>
                  <to>
                    <xdr:col>5</xdr:col>
                    <xdr:colOff>22860</xdr:colOff>
                    <xdr:row>86</xdr:row>
                    <xdr:rowOff>30480</xdr:rowOff>
                  </to>
                </anchor>
              </controlPr>
            </control>
          </mc:Choice>
        </mc:AlternateContent>
        <mc:AlternateContent xmlns:mc="http://schemas.openxmlformats.org/markup-compatibility/2006">
          <mc:Choice Requires="x14">
            <control shapeId="18452" r:id="rId20" name="Drop Down 20">
              <controlPr locked="0" defaultSize="0" autoLine="0" autoPict="0">
                <anchor moveWithCells="1">
                  <from>
                    <xdr:col>1</xdr:col>
                    <xdr:colOff>0</xdr:colOff>
                    <xdr:row>86</xdr:row>
                    <xdr:rowOff>22860</xdr:rowOff>
                  </from>
                  <to>
                    <xdr:col>5</xdr:col>
                    <xdr:colOff>22860</xdr:colOff>
                    <xdr:row>87</xdr:row>
                    <xdr:rowOff>30480</xdr:rowOff>
                  </to>
                </anchor>
              </controlPr>
            </control>
          </mc:Choice>
        </mc:AlternateContent>
        <mc:AlternateContent xmlns:mc="http://schemas.openxmlformats.org/markup-compatibility/2006">
          <mc:Choice Requires="x14">
            <control shapeId="18453" r:id="rId21" name="Drop Down 21">
              <controlPr locked="0" defaultSize="0" autoLine="0" autoPict="0">
                <anchor moveWithCells="1">
                  <from>
                    <xdr:col>1</xdr:col>
                    <xdr:colOff>0</xdr:colOff>
                    <xdr:row>87</xdr:row>
                    <xdr:rowOff>0</xdr:rowOff>
                  </from>
                  <to>
                    <xdr:col>5</xdr:col>
                    <xdr:colOff>30480</xdr:colOff>
                    <xdr:row>88</xdr:row>
                    <xdr:rowOff>7620</xdr:rowOff>
                  </to>
                </anchor>
              </controlPr>
            </control>
          </mc:Choice>
        </mc:AlternateContent>
        <mc:AlternateContent xmlns:mc="http://schemas.openxmlformats.org/markup-compatibility/2006">
          <mc:Choice Requires="x14">
            <control shapeId="18454" r:id="rId22" name="Drop Down 22">
              <controlPr locked="0" defaultSize="0" autoLine="0" autoPict="0">
                <anchor moveWithCells="1">
                  <from>
                    <xdr:col>1</xdr:col>
                    <xdr:colOff>0</xdr:colOff>
                    <xdr:row>88</xdr:row>
                    <xdr:rowOff>0</xdr:rowOff>
                  </from>
                  <to>
                    <xdr:col>5</xdr:col>
                    <xdr:colOff>30480</xdr:colOff>
                    <xdr:row>89</xdr:row>
                    <xdr:rowOff>7620</xdr:rowOff>
                  </to>
                </anchor>
              </controlPr>
            </control>
          </mc:Choice>
        </mc:AlternateContent>
        <mc:AlternateContent xmlns:mc="http://schemas.openxmlformats.org/markup-compatibility/2006">
          <mc:Choice Requires="x14">
            <control shapeId="18455" r:id="rId23" name="Drop Down 23">
              <controlPr locked="0" defaultSize="0" autoLine="0" autoPict="0">
                <anchor moveWithCells="1">
                  <from>
                    <xdr:col>1</xdr:col>
                    <xdr:colOff>0</xdr:colOff>
                    <xdr:row>89</xdr:row>
                    <xdr:rowOff>0</xdr:rowOff>
                  </from>
                  <to>
                    <xdr:col>5</xdr:col>
                    <xdr:colOff>30480</xdr:colOff>
                    <xdr:row>90</xdr:row>
                    <xdr:rowOff>7620</xdr:rowOff>
                  </to>
                </anchor>
              </controlPr>
            </control>
          </mc:Choice>
        </mc:AlternateContent>
        <mc:AlternateContent xmlns:mc="http://schemas.openxmlformats.org/markup-compatibility/2006">
          <mc:Choice Requires="x14">
            <control shapeId="18456" r:id="rId24" name="Drop Down 24">
              <controlPr locked="0" defaultSize="0" autoLine="0" autoPict="0">
                <anchor moveWithCells="1">
                  <from>
                    <xdr:col>1</xdr:col>
                    <xdr:colOff>0</xdr:colOff>
                    <xdr:row>98</xdr:row>
                    <xdr:rowOff>7620</xdr:rowOff>
                  </from>
                  <to>
                    <xdr:col>5</xdr:col>
                    <xdr:colOff>30480</xdr:colOff>
                    <xdr:row>99</xdr:row>
                    <xdr:rowOff>22860</xdr:rowOff>
                  </to>
                </anchor>
              </controlPr>
            </control>
          </mc:Choice>
        </mc:AlternateContent>
        <mc:AlternateContent xmlns:mc="http://schemas.openxmlformats.org/markup-compatibility/2006">
          <mc:Choice Requires="x14">
            <control shapeId="18457" r:id="rId25" name="Drop Down 25">
              <controlPr locked="0" defaultSize="0" autoLine="0" autoPict="0">
                <anchor moveWithCells="1">
                  <from>
                    <xdr:col>1</xdr:col>
                    <xdr:colOff>0</xdr:colOff>
                    <xdr:row>99</xdr:row>
                    <xdr:rowOff>22860</xdr:rowOff>
                  </from>
                  <to>
                    <xdr:col>5</xdr:col>
                    <xdr:colOff>30480</xdr:colOff>
                    <xdr:row>100</xdr:row>
                    <xdr:rowOff>30480</xdr:rowOff>
                  </to>
                </anchor>
              </controlPr>
            </control>
          </mc:Choice>
        </mc:AlternateContent>
        <mc:AlternateContent xmlns:mc="http://schemas.openxmlformats.org/markup-compatibility/2006">
          <mc:Choice Requires="x14">
            <control shapeId="18458" r:id="rId26" name="Drop Down 26">
              <controlPr locked="0" defaultSize="0" autoLine="0" autoPict="0">
                <anchor moveWithCells="1">
                  <from>
                    <xdr:col>1</xdr:col>
                    <xdr:colOff>0</xdr:colOff>
                    <xdr:row>100</xdr:row>
                    <xdr:rowOff>0</xdr:rowOff>
                  </from>
                  <to>
                    <xdr:col>5</xdr:col>
                    <xdr:colOff>30480</xdr:colOff>
                    <xdr:row>101</xdr:row>
                    <xdr:rowOff>7620</xdr:rowOff>
                  </to>
                </anchor>
              </controlPr>
            </control>
          </mc:Choice>
        </mc:AlternateContent>
        <mc:AlternateContent xmlns:mc="http://schemas.openxmlformats.org/markup-compatibility/2006">
          <mc:Choice Requires="x14">
            <control shapeId="18459" r:id="rId27" name="Drop Down 27">
              <controlPr locked="0" defaultSize="0" autoLine="0" autoPict="0">
                <anchor moveWithCells="1">
                  <from>
                    <xdr:col>1</xdr:col>
                    <xdr:colOff>0</xdr:colOff>
                    <xdr:row>101</xdr:row>
                    <xdr:rowOff>0</xdr:rowOff>
                  </from>
                  <to>
                    <xdr:col>5</xdr:col>
                    <xdr:colOff>30480</xdr:colOff>
                    <xdr:row>102</xdr:row>
                    <xdr:rowOff>7620</xdr:rowOff>
                  </to>
                </anchor>
              </controlPr>
            </control>
          </mc:Choice>
        </mc:AlternateContent>
        <mc:AlternateContent xmlns:mc="http://schemas.openxmlformats.org/markup-compatibility/2006">
          <mc:Choice Requires="x14">
            <control shapeId="18460" r:id="rId28" name="Drop Down 28">
              <controlPr locked="0" defaultSize="0" autoLine="0" autoPict="0">
                <anchor moveWithCells="1">
                  <from>
                    <xdr:col>1</xdr:col>
                    <xdr:colOff>0</xdr:colOff>
                    <xdr:row>102</xdr:row>
                    <xdr:rowOff>0</xdr:rowOff>
                  </from>
                  <to>
                    <xdr:col>3</xdr:col>
                    <xdr:colOff>160020</xdr:colOff>
                    <xdr:row>103</xdr:row>
                    <xdr:rowOff>7620</xdr:rowOff>
                  </to>
                </anchor>
              </controlPr>
            </control>
          </mc:Choice>
        </mc:AlternateContent>
        <mc:AlternateContent xmlns:mc="http://schemas.openxmlformats.org/markup-compatibility/2006">
          <mc:Choice Requires="x14">
            <control shapeId="18461" r:id="rId29" name="Drop Down 29">
              <controlPr locked="0" defaultSize="0" autoLine="0" autoPict="0">
                <anchor moveWithCells="1">
                  <from>
                    <xdr:col>1</xdr:col>
                    <xdr:colOff>0</xdr:colOff>
                    <xdr:row>102</xdr:row>
                    <xdr:rowOff>0</xdr:rowOff>
                  </from>
                  <to>
                    <xdr:col>5</xdr:col>
                    <xdr:colOff>22860</xdr:colOff>
                    <xdr:row>103</xdr:row>
                    <xdr:rowOff>7620</xdr:rowOff>
                  </to>
                </anchor>
              </controlPr>
            </control>
          </mc:Choice>
        </mc:AlternateContent>
        <mc:AlternateContent xmlns:mc="http://schemas.openxmlformats.org/markup-compatibility/2006">
          <mc:Choice Requires="x14">
            <control shapeId="18465" r:id="rId30" name="Check Box 33">
              <controlPr defaultSize="0" autoFill="0" autoLine="0" autoPict="0">
                <anchor moveWithCells="1" sizeWithCells="1">
                  <from>
                    <xdr:col>0</xdr:col>
                    <xdr:colOff>213360</xdr:colOff>
                    <xdr:row>11</xdr:row>
                    <xdr:rowOff>190500</xdr:rowOff>
                  </from>
                  <to>
                    <xdr:col>8</xdr:col>
                    <xdr:colOff>198120</xdr:colOff>
                    <xdr:row>13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P70"/>
  <sheetViews>
    <sheetView showGridLines="0" zoomScale="130" zoomScaleNormal="130" workbookViewId="0">
      <pane ySplit="1" topLeftCell="A44" activePane="bottomLeft" state="frozen"/>
      <selection pane="bottomLeft" activeCell="D66" sqref="D66:P66"/>
    </sheetView>
  </sheetViews>
  <sheetFormatPr defaultColWidth="9.109375" defaultRowHeight="13.2" x14ac:dyDescent="0.25"/>
  <cols>
    <col min="1" max="1" width="12.109375" style="132" customWidth="1"/>
    <col min="2" max="2" width="11.5546875" style="132" customWidth="1"/>
    <col min="3" max="3" width="10.33203125" style="132" bestFit="1" customWidth="1"/>
    <col min="4" max="16384" width="9.109375" style="132"/>
  </cols>
  <sheetData>
    <row r="1" spans="1:16" ht="39.6" x14ac:dyDescent="0.25">
      <c r="A1" s="69" t="s">
        <v>818</v>
      </c>
      <c r="B1" s="70" t="s">
        <v>821</v>
      </c>
      <c r="C1" s="70" t="s">
        <v>819</v>
      </c>
      <c r="D1" s="767" t="s">
        <v>820</v>
      </c>
      <c r="E1" s="768"/>
      <c r="F1" s="768"/>
      <c r="G1" s="768"/>
      <c r="H1" s="768"/>
      <c r="I1" s="768"/>
      <c r="J1" s="768"/>
      <c r="K1" s="768"/>
      <c r="L1" s="768"/>
      <c r="M1" s="768"/>
      <c r="N1" s="768"/>
      <c r="O1" s="768"/>
      <c r="P1" s="769"/>
    </row>
    <row r="2" spans="1:16" s="272" customFormat="1" x14ac:dyDescent="0.25">
      <c r="A2" s="280">
        <v>5</v>
      </c>
      <c r="B2" s="274">
        <v>40114</v>
      </c>
      <c r="C2" s="274">
        <v>40114</v>
      </c>
      <c r="D2" s="772" t="s">
        <v>139</v>
      </c>
      <c r="E2" s="773"/>
      <c r="F2" s="773"/>
      <c r="G2" s="773"/>
      <c r="H2" s="773"/>
      <c r="I2" s="773"/>
      <c r="J2" s="773"/>
      <c r="K2" s="773"/>
      <c r="L2" s="773"/>
      <c r="M2" s="773"/>
      <c r="N2" s="773"/>
      <c r="O2" s="773"/>
      <c r="P2" s="774"/>
    </row>
    <row r="3" spans="1:16" s="272" customFormat="1" ht="28.5" customHeight="1" x14ac:dyDescent="0.25">
      <c r="A3" s="275">
        <v>5.0999999999999996</v>
      </c>
      <c r="B3" s="274">
        <v>40282</v>
      </c>
      <c r="C3" s="274"/>
      <c r="D3" s="775" t="s">
        <v>231</v>
      </c>
      <c r="E3" s="775"/>
      <c r="F3" s="775"/>
      <c r="G3" s="775"/>
      <c r="H3" s="775"/>
      <c r="I3" s="775"/>
      <c r="J3" s="775"/>
      <c r="K3" s="775"/>
      <c r="L3" s="775"/>
      <c r="M3" s="775"/>
      <c r="N3" s="775"/>
      <c r="O3" s="775"/>
      <c r="P3" s="775"/>
    </row>
    <row r="4" spans="1:16" s="272" customFormat="1" x14ac:dyDescent="0.25">
      <c r="A4" s="275">
        <v>5.2</v>
      </c>
      <c r="B4" s="274">
        <v>40368</v>
      </c>
      <c r="C4" s="275"/>
      <c r="D4" s="770" t="s">
        <v>240</v>
      </c>
      <c r="E4" s="771"/>
      <c r="F4" s="771"/>
      <c r="G4" s="771"/>
      <c r="H4" s="771"/>
      <c r="I4" s="771"/>
      <c r="J4" s="771"/>
      <c r="K4" s="771"/>
      <c r="L4" s="771"/>
      <c r="M4" s="771"/>
      <c r="N4" s="771"/>
      <c r="O4" s="771"/>
      <c r="P4" s="771"/>
    </row>
    <row r="5" spans="1:16" s="272" customFormat="1" x14ac:dyDescent="0.25">
      <c r="A5" s="275"/>
      <c r="B5" s="274">
        <v>40376</v>
      </c>
      <c r="C5" s="275"/>
      <c r="D5" s="770" t="s">
        <v>242</v>
      </c>
      <c r="E5" s="771"/>
      <c r="F5" s="771"/>
      <c r="G5" s="771"/>
      <c r="H5" s="771"/>
      <c r="I5" s="771"/>
      <c r="J5" s="771"/>
      <c r="K5" s="771"/>
      <c r="L5" s="771"/>
      <c r="M5" s="771"/>
      <c r="N5" s="771"/>
      <c r="O5" s="771"/>
      <c r="P5" s="771"/>
    </row>
    <row r="6" spans="1:16" s="272" customFormat="1" x14ac:dyDescent="0.25">
      <c r="A6" s="275">
        <v>5.3</v>
      </c>
      <c r="B6" s="274">
        <v>40379</v>
      </c>
      <c r="C6" s="275"/>
      <c r="D6" s="770" t="s">
        <v>243</v>
      </c>
      <c r="E6" s="771"/>
      <c r="F6" s="771"/>
      <c r="G6" s="771"/>
      <c r="H6" s="771"/>
      <c r="I6" s="771"/>
      <c r="J6" s="771"/>
      <c r="K6" s="771"/>
      <c r="L6" s="771"/>
      <c r="M6" s="771"/>
      <c r="N6" s="771"/>
      <c r="O6" s="771"/>
      <c r="P6" s="771"/>
    </row>
    <row r="7" spans="1:16" s="272" customFormat="1" x14ac:dyDescent="0.25">
      <c r="A7" s="275">
        <v>5.4</v>
      </c>
      <c r="B7" s="274">
        <v>40388</v>
      </c>
      <c r="C7" s="275"/>
      <c r="D7" s="770" t="s">
        <v>245</v>
      </c>
      <c r="E7" s="771"/>
      <c r="F7" s="771"/>
      <c r="G7" s="771"/>
      <c r="H7" s="771"/>
      <c r="I7" s="771"/>
      <c r="J7" s="771"/>
      <c r="K7" s="771"/>
      <c r="L7" s="771"/>
      <c r="M7" s="771"/>
      <c r="N7" s="771"/>
      <c r="O7" s="771"/>
      <c r="P7" s="771"/>
    </row>
    <row r="8" spans="1:16" s="272" customFormat="1" x14ac:dyDescent="0.25">
      <c r="A8" s="275">
        <v>5.5</v>
      </c>
      <c r="B8" s="274">
        <v>40410</v>
      </c>
      <c r="C8" s="275"/>
      <c r="D8" s="770" t="s">
        <v>246</v>
      </c>
      <c r="E8" s="771"/>
      <c r="F8" s="771"/>
      <c r="G8" s="771"/>
      <c r="H8" s="771"/>
      <c r="I8" s="771"/>
      <c r="J8" s="771"/>
      <c r="K8" s="771"/>
      <c r="L8" s="771"/>
      <c r="M8" s="771"/>
      <c r="N8" s="771"/>
      <c r="O8" s="771"/>
      <c r="P8" s="771"/>
    </row>
    <row r="9" spans="1:16" s="272" customFormat="1" x14ac:dyDescent="0.25">
      <c r="A9" s="275">
        <v>5.6</v>
      </c>
      <c r="B9" s="274">
        <v>40459</v>
      </c>
      <c r="C9" s="275"/>
      <c r="D9" s="770" t="s">
        <v>247</v>
      </c>
      <c r="E9" s="771"/>
      <c r="F9" s="771"/>
      <c r="G9" s="771"/>
      <c r="H9" s="771"/>
      <c r="I9" s="771"/>
      <c r="J9" s="771"/>
      <c r="K9" s="771"/>
      <c r="L9" s="771"/>
      <c r="M9" s="771"/>
      <c r="N9" s="771"/>
      <c r="O9" s="771"/>
      <c r="P9" s="771"/>
    </row>
    <row r="10" spans="1:16" s="272" customFormat="1" x14ac:dyDescent="0.25">
      <c r="A10" s="275">
        <v>5.7</v>
      </c>
      <c r="B10" s="274">
        <v>40466</v>
      </c>
      <c r="C10" s="275"/>
      <c r="D10" s="770" t="s">
        <v>253</v>
      </c>
      <c r="E10" s="771"/>
      <c r="F10" s="771"/>
      <c r="G10" s="771"/>
      <c r="H10" s="771"/>
      <c r="I10" s="771"/>
      <c r="J10" s="771"/>
      <c r="K10" s="771"/>
      <c r="L10" s="771"/>
      <c r="M10" s="771"/>
      <c r="N10" s="771"/>
      <c r="O10" s="771"/>
      <c r="P10" s="771"/>
    </row>
    <row r="11" spans="1:16" s="272" customFormat="1" x14ac:dyDescent="0.25">
      <c r="A11" s="275">
        <v>5.8</v>
      </c>
      <c r="B11" s="274">
        <v>40471</v>
      </c>
      <c r="C11" s="275"/>
      <c r="D11" s="770" t="s">
        <v>255</v>
      </c>
      <c r="E11" s="771"/>
      <c r="F11" s="771"/>
      <c r="G11" s="771"/>
      <c r="H11" s="771"/>
      <c r="I11" s="771"/>
      <c r="J11" s="771"/>
      <c r="K11" s="771"/>
      <c r="L11" s="771"/>
      <c r="M11" s="771"/>
      <c r="N11" s="771"/>
      <c r="O11" s="771"/>
      <c r="P11" s="771"/>
    </row>
    <row r="12" spans="1:16" s="272" customFormat="1" x14ac:dyDescent="0.25">
      <c r="A12" s="275">
        <v>5.9</v>
      </c>
      <c r="B12" s="274">
        <v>40492</v>
      </c>
      <c r="C12" s="275"/>
      <c r="D12" s="770" t="s">
        <v>257</v>
      </c>
      <c r="E12" s="771"/>
      <c r="F12" s="771"/>
      <c r="G12" s="771"/>
      <c r="H12" s="771"/>
      <c r="I12" s="771"/>
      <c r="J12" s="771"/>
      <c r="K12" s="771"/>
      <c r="L12" s="771"/>
      <c r="M12" s="771"/>
      <c r="N12" s="771"/>
      <c r="O12" s="771"/>
      <c r="P12" s="771"/>
    </row>
    <row r="13" spans="1:16" s="272" customFormat="1" x14ac:dyDescent="0.25">
      <c r="A13" s="273" t="s">
        <v>281</v>
      </c>
      <c r="B13" s="274">
        <v>40567</v>
      </c>
      <c r="C13" s="275"/>
      <c r="D13" s="770" t="s">
        <v>280</v>
      </c>
      <c r="E13" s="771"/>
      <c r="F13" s="771"/>
      <c r="G13" s="771"/>
      <c r="H13" s="771"/>
      <c r="I13" s="771"/>
      <c r="J13" s="771"/>
      <c r="K13" s="771"/>
      <c r="L13" s="771"/>
      <c r="M13" s="771"/>
      <c r="N13" s="771"/>
      <c r="O13" s="771"/>
      <c r="P13" s="771"/>
    </row>
    <row r="14" spans="1:16" s="272" customFormat="1" x14ac:dyDescent="0.25">
      <c r="A14" s="275">
        <v>5.1100000000000003</v>
      </c>
      <c r="B14" s="274">
        <v>40622</v>
      </c>
      <c r="C14" s="275"/>
      <c r="D14" s="770" t="s">
        <v>282</v>
      </c>
      <c r="E14" s="771"/>
      <c r="F14" s="771"/>
      <c r="G14" s="771"/>
      <c r="H14" s="771"/>
      <c r="I14" s="771"/>
      <c r="J14" s="771"/>
      <c r="K14" s="771"/>
      <c r="L14" s="771"/>
      <c r="M14" s="771"/>
      <c r="N14" s="771"/>
      <c r="O14" s="771"/>
      <c r="P14" s="771"/>
    </row>
    <row r="15" spans="1:16" s="272" customFormat="1" x14ac:dyDescent="0.25">
      <c r="A15" s="275">
        <v>5.12</v>
      </c>
      <c r="B15" s="274">
        <v>40664</v>
      </c>
      <c r="C15" s="275"/>
      <c r="D15" s="770" t="s">
        <v>283</v>
      </c>
      <c r="E15" s="771"/>
      <c r="F15" s="771"/>
      <c r="G15" s="771"/>
      <c r="H15" s="771"/>
      <c r="I15" s="771"/>
      <c r="J15" s="771"/>
      <c r="K15" s="771"/>
      <c r="L15" s="771"/>
      <c r="M15" s="771"/>
      <c r="N15" s="771"/>
      <c r="O15" s="771"/>
      <c r="P15" s="771"/>
    </row>
    <row r="16" spans="1:16" s="272" customFormat="1" x14ac:dyDescent="0.25">
      <c r="A16" s="275">
        <v>5.13</v>
      </c>
      <c r="B16" s="274">
        <v>40743</v>
      </c>
      <c r="C16" s="275"/>
      <c r="D16" s="770" t="s">
        <v>217</v>
      </c>
      <c r="E16" s="771"/>
      <c r="F16" s="771"/>
      <c r="G16" s="771"/>
      <c r="H16" s="771"/>
      <c r="I16" s="771"/>
      <c r="J16" s="771"/>
      <c r="K16" s="771"/>
      <c r="L16" s="771"/>
      <c r="M16" s="771"/>
      <c r="N16" s="771"/>
      <c r="O16" s="771"/>
      <c r="P16" s="771"/>
    </row>
    <row r="17" spans="1:16" s="272" customFormat="1" x14ac:dyDescent="0.25">
      <c r="A17" s="275">
        <v>5.14</v>
      </c>
      <c r="B17" s="274">
        <v>40794</v>
      </c>
      <c r="C17" s="275"/>
      <c r="D17" s="770" t="s">
        <v>851</v>
      </c>
      <c r="E17" s="771"/>
      <c r="F17" s="771"/>
      <c r="G17" s="771"/>
      <c r="H17" s="771"/>
      <c r="I17" s="771"/>
      <c r="J17" s="771"/>
      <c r="K17" s="771"/>
      <c r="L17" s="771"/>
      <c r="M17" s="771"/>
      <c r="N17" s="771"/>
      <c r="O17" s="771"/>
      <c r="P17" s="771"/>
    </row>
    <row r="18" spans="1:16" s="272" customFormat="1" ht="27" customHeight="1" x14ac:dyDescent="0.25">
      <c r="A18" s="275">
        <v>5.15</v>
      </c>
      <c r="B18" s="500">
        <v>40909</v>
      </c>
      <c r="C18" s="274"/>
      <c r="D18" s="770" t="s">
        <v>387</v>
      </c>
      <c r="E18" s="771"/>
      <c r="F18" s="771"/>
      <c r="G18" s="771"/>
      <c r="H18" s="771"/>
      <c r="I18" s="771"/>
      <c r="J18" s="771"/>
      <c r="K18" s="771"/>
      <c r="L18" s="771"/>
      <c r="M18" s="771"/>
      <c r="N18" s="771"/>
      <c r="O18" s="771"/>
      <c r="P18" s="771"/>
    </row>
    <row r="19" spans="1:16" s="272" customFormat="1" ht="30.75" customHeight="1" x14ac:dyDescent="0.25">
      <c r="A19" s="275">
        <v>5.16</v>
      </c>
      <c r="B19" s="274">
        <v>41000</v>
      </c>
      <c r="C19" s="275"/>
      <c r="D19" s="770" t="s">
        <v>748</v>
      </c>
      <c r="E19" s="771"/>
      <c r="F19" s="771"/>
      <c r="G19" s="771"/>
      <c r="H19" s="771"/>
      <c r="I19" s="771"/>
      <c r="J19" s="771"/>
      <c r="K19" s="771"/>
      <c r="L19" s="771"/>
      <c r="M19" s="771"/>
      <c r="N19" s="771"/>
      <c r="O19" s="771"/>
      <c r="P19" s="771"/>
    </row>
    <row r="20" spans="1:16" s="272" customFormat="1" ht="12.75" customHeight="1" x14ac:dyDescent="0.25">
      <c r="A20" s="275">
        <v>5.17</v>
      </c>
      <c r="B20" s="274">
        <v>41091</v>
      </c>
      <c r="C20" s="275"/>
      <c r="D20" s="770" t="s">
        <v>435</v>
      </c>
      <c r="E20" s="771"/>
      <c r="F20" s="771"/>
      <c r="G20" s="771"/>
      <c r="H20" s="771"/>
      <c r="I20" s="771"/>
      <c r="J20" s="771"/>
      <c r="K20" s="771"/>
      <c r="L20" s="771"/>
      <c r="M20" s="771"/>
      <c r="N20" s="771"/>
      <c r="O20" s="771"/>
      <c r="P20" s="771"/>
    </row>
    <row r="21" spans="1:16" s="272" customFormat="1" x14ac:dyDescent="0.25">
      <c r="A21" s="275">
        <v>5.18</v>
      </c>
      <c r="B21" s="274">
        <v>41120</v>
      </c>
      <c r="C21" s="275"/>
      <c r="D21" s="770" t="s">
        <v>362</v>
      </c>
      <c r="E21" s="771"/>
      <c r="F21" s="771"/>
      <c r="G21" s="771"/>
      <c r="H21" s="771"/>
      <c r="I21" s="771"/>
      <c r="J21" s="771"/>
      <c r="K21" s="771"/>
      <c r="L21" s="771"/>
      <c r="M21" s="771"/>
      <c r="N21" s="771"/>
      <c r="O21" s="771"/>
      <c r="P21" s="771"/>
    </row>
    <row r="22" spans="1:16" s="272" customFormat="1" ht="27" customHeight="1" x14ac:dyDescent="0.25">
      <c r="A22" s="275">
        <v>5.19</v>
      </c>
      <c r="B22" s="274">
        <v>41183</v>
      </c>
      <c r="C22" s="275"/>
      <c r="D22" s="770" t="s">
        <v>202</v>
      </c>
      <c r="E22" s="771"/>
      <c r="F22" s="771"/>
      <c r="G22" s="771"/>
      <c r="H22" s="771"/>
      <c r="I22" s="771"/>
      <c r="J22" s="771"/>
      <c r="K22" s="771"/>
      <c r="L22" s="771"/>
      <c r="M22" s="771"/>
      <c r="N22" s="771"/>
      <c r="O22" s="771"/>
      <c r="P22" s="771"/>
    </row>
    <row r="23" spans="1:16" ht="42.75" customHeight="1" x14ac:dyDescent="0.25">
      <c r="A23" s="509">
        <v>5.2</v>
      </c>
      <c r="B23" s="274">
        <v>41275</v>
      </c>
      <c r="C23" s="275"/>
      <c r="D23" s="785" t="s">
        <v>856</v>
      </c>
      <c r="E23" s="786"/>
      <c r="F23" s="786"/>
      <c r="G23" s="786"/>
      <c r="H23" s="786"/>
      <c r="I23" s="786"/>
      <c r="J23" s="786"/>
      <c r="K23" s="786"/>
      <c r="L23" s="786"/>
      <c r="M23" s="786"/>
      <c r="N23" s="786"/>
      <c r="O23" s="786"/>
      <c r="P23" s="787"/>
    </row>
    <row r="24" spans="1:16" x14ac:dyDescent="0.25">
      <c r="A24" s="275">
        <v>5.21</v>
      </c>
      <c r="B24" s="274">
        <v>41365</v>
      </c>
      <c r="C24" s="275"/>
      <c r="D24" s="784" t="s">
        <v>857</v>
      </c>
      <c r="E24" s="771"/>
      <c r="F24" s="771"/>
      <c r="G24" s="771"/>
      <c r="H24" s="771"/>
      <c r="I24" s="771"/>
      <c r="J24" s="771"/>
      <c r="K24" s="771"/>
      <c r="L24" s="771"/>
      <c r="M24" s="771"/>
      <c r="N24" s="771"/>
      <c r="O24" s="771"/>
      <c r="P24" s="771"/>
    </row>
    <row r="25" spans="1:16" ht="30" customHeight="1" x14ac:dyDescent="0.25">
      <c r="A25" s="275">
        <v>5.22</v>
      </c>
      <c r="B25" s="274">
        <v>41456</v>
      </c>
      <c r="C25" s="275"/>
      <c r="D25" s="784" t="s">
        <v>877</v>
      </c>
      <c r="E25" s="771"/>
      <c r="F25" s="771"/>
      <c r="G25" s="771"/>
      <c r="H25" s="771"/>
      <c r="I25" s="771"/>
      <c r="J25" s="771"/>
      <c r="K25" s="771"/>
      <c r="L25" s="771"/>
      <c r="M25" s="771"/>
      <c r="N25" s="771"/>
      <c r="O25" s="771"/>
      <c r="P25" s="771"/>
    </row>
    <row r="26" spans="1:16" x14ac:dyDescent="0.25">
      <c r="A26" s="275">
        <v>5.23</v>
      </c>
      <c r="B26" s="547">
        <v>41548</v>
      </c>
      <c r="C26" s="548"/>
      <c r="D26" s="782" t="s">
        <v>879</v>
      </c>
      <c r="E26" s="783"/>
      <c r="F26" s="783"/>
      <c r="G26" s="783"/>
      <c r="H26" s="783"/>
      <c r="I26" s="783"/>
      <c r="J26" s="783"/>
      <c r="K26" s="783"/>
      <c r="L26" s="783"/>
      <c r="M26" s="783"/>
      <c r="N26" s="783"/>
      <c r="O26" s="783"/>
      <c r="P26" s="783"/>
    </row>
    <row r="27" spans="1:16" x14ac:dyDescent="0.25">
      <c r="A27" s="275">
        <v>5.24</v>
      </c>
      <c r="B27" s="549">
        <v>41640</v>
      </c>
      <c r="C27" s="550"/>
      <c r="D27" s="778" t="s">
        <v>878</v>
      </c>
      <c r="E27" s="779"/>
      <c r="F27" s="779"/>
      <c r="G27" s="779"/>
      <c r="H27" s="779"/>
      <c r="I27" s="779"/>
      <c r="J27" s="779"/>
      <c r="K27" s="779"/>
      <c r="L27" s="779"/>
      <c r="M27" s="779"/>
      <c r="N27" s="779"/>
      <c r="O27" s="779"/>
      <c r="P27" s="779"/>
    </row>
    <row r="28" spans="1:16" ht="27" customHeight="1" x14ac:dyDescent="0.25">
      <c r="A28" s="275">
        <v>5.25</v>
      </c>
      <c r="B28" s="551">
        <v>41758</v>
      </c>
      <c r="C28" s="552"/>
      <c r="D28" s="780" t="s">
        <v>880</v>
      </c>
      <c r="E28" s="781"/>
      <c r="F28" s="781"/>
      <c r="G28" s="781"/>
      <c r="H28" s="781"/>
      <c r="I28" s="781"/>
      <c r="J28" s="781"/>
      <c r="K28" s="781"/>
      <c r="L28" s="781"/>
      <c r="M28" s="781"/>
      <c r="N28" s="781"/>
      <c r="O28" s="781"/>
      <c r="P28" s="781"/>
    </row>
    <row r="29" spans="1:16" ht="12.75" customHeight="1" x14ac:dyDescent="0.25">
      <c r="A29" s="275">
        <v>5.26</v>
      </c>
      <c r="B29" s="554">
        <v>41821</v>
      </c>
      <c r="C29" s="555"/>
      <c r="D29" s="776" t="s">
        <v>881</v>
      </c>
      <c r="E29" s="777"/>
      <c r="F29" s="777"/>
      <c r="G29" s="777"/>
      <c r="H29" s="777"/>
      <c r="I29" s="777"/>
      <c r="J29" s="777"/>
      <c r="K29" s="777"/>
      <c r="L29" s="777"/>
      <c r="M29" s="777"/>
      <c r="N29" s="777"/>
      <c r="O29" s="777"/>
      <c r="P29" s="777"/>
    </row>
    <row r="30" spans="1:16" x14ac:dyDescent="0.25">
      <c r="A30" s="275">
        <v>5.27</v>
      </c>
      <c r="B30" s="274">
        <v>41913</v>
      </c>
      <c r="C30" s="275"/>
      <c r="D30" s="793" t="s">
        <v>882</v>
      </c>
      <c r="E30" s="794"/>
      <c r="F30" s="794"/>
      <c r="G30" s="794"/>
      <c r="H30" s="794"/>
      <c r="I30" s="794"/>
      <c r="J30" s="794"/>
      <c r="K30" s="794"/>
      <c r="L30" s="794"/>
      <c r="M30" s="794"/>
      <c r="N30" s="794"/>
      <c r="O30" s="794"/>
      <c r="P30" s="794"/>
    </row>
    <row r="31" spans="1:16" x14ac:dyDescent="0.25">
      <c r="A31" s="275">
        <v>5.28</v>
      </c>
      <c r="B31" s="571">
        <v>42009</v>
      </c>
      <c r="C31" s="572"/>
      <c r="D31" s="788" t="s">
        <v>883</v>
      </c>
      <c r="E31" s="789"/>
      <c r="F31" s="789"/>
      <c r="G31" s="789"/>
      <c r="H31" s="789"/>
      <c r="I31" s="789"/>
      <c r="J31" s="789"/>
      <c r="K31" s="789"/>
      <c r="L31" s="789"/>
      <c r="M31" s="789"/>
      <c r="N31" s="789"/>
      <c r="O31" s="789"/>
      <c r="P31" s="789"/>
    </row>
    <row r="32" spans="1:16" x14ac:dyDescent="0.25">
      <c r="A32" s="275">
        <v>5.29</v>
      </c>
      <c r="B32" s="274">
        <v>42089</v>
      </c>
      <c r="C32" s="275"/>
      <c r="D32" s="788" t="s">
        <v>884</v>
      </c>
      <c r="E32" s="789"/>
      <c r="F32" s="789"/>
      <c r="G32" s="789"/>
      <c r="H32" s="789"/>
      <c r="I32" s="789"/>
      <c r="J32" s="789"/>
      <c r="K32" s="789"/>
      <c r="L32" s="789"/>
      <c r="M32" s="789"/>
      <c r="N32" s="789"/>
      <c r="O32" s="789"/>
      <c r="P32" s="789"/>
    </row>
    <row r="33" spans="1:16" x14ac:dyDescent="0.25">
      <c r="A33" s="273" t="s">
        <v>885</v>
      </c>
      <c r="B33" s="274">
        <v>42180</v>
      </c>
      <c r="C33" s="275"/>
      <c r="D33" s="788" t="s">
        <v>886</v>
      </c>
      <c r="E33" s="789"/>
      <c r="F33" s="789"/>
      <c r="G33" s="789"/>
      <c r="H33" s="789"/>
      <c r="I33" s="789"/>
      <c r="J33" s="789"/>
      <c r="K33" s="789"/>
      <c r="L33" s="789"/>
      <c r="M33" s="789"/>
      <c r="N33" s="789"/>
      <c r="O33" s="789"/>
      <c r="P33" s="789"/>
    </row>
    <row r="34" spans="1:16" x14ac:dyDescent="0.25">
      <c r="A34" s="275">
        <v>5.31</v>
      </c>
      <c r="B34" s="274">
        <v>42276</v>
      </c>
      <c r="C34" s="275"/>
      <c r="D34" s="770" t="s">
        <v>887</v>
      </c>
      <c r="E34" s="771"/>
      <c r="F34" s="771"/>
      <c r="G34" s="771"/>
      <c r="H34" s="771"/>
      <c r="I34" s="771"/>
      <c r="J34" s="771"/>
      <c r="K34" s="771"/>
      <c r="L34" s="771"/>
      <c r="M34" s="771"/>
      <c r="N34" s="771"/>
      <c r="O34" s="771"/>
      <c r="P34" s="771"/>
    </row>
    <row r="35" spans="1:16" x14ac:dyDescent="0.25">
      <c r="A35" s="275">
        <v>5.32</v>
      </c>
      <c r="B35" s="274">
        <v>42376</v>
      </c>
      <c r="C35" s="275"/>
      <c r="D35" s="788" t="s">
        <v>888</v>
      </c>
      <c r="E35" s="789"/>
      <c r="F35" s="789"/>
      <c r="G35" s="789"/>
      <c r="H35" s="789"/>
      <c r="I35" s="789"/>
      <c r="J35" s="789"/>
      <c r="K35" s="789"/>
      <c r="L35" s="789"/>
      <c r="M35" s="789"/>
      <c r="N35" s="789"/>
      <c r="O35" s="789"/>
      <c r="P35" s="789"/>
    </row>
    <row r="36" spans="1:16" ht="12.75" customHeight="1" x14ac:dyDescent="0.25">
      <c r="A36" s="275">
        <v>5.33</v>
      </c>
      <c r="B36" s="274">
        <v>42465</v>
      </c>
      <c r="C36" s="275"/>
      <c r="D36" s="788" t="s">
        <v>889</v>
      </c>
      <c r="E36" s="789"/>
      <c r="F36" s="789"/>
      <c r="G36" s="789"/>
      <c r="H36" s="789"/>
      <c r="I36" s="789"/>
      <c r="J36" s="789"/>
      <c r="K36" s="789"/>
      <c r="L36" s="789"/>
      <c r="M36" s="789"/>
      <c r="N36" s="789"/>
      <c r="O36" s="789"/>
      <c r="P36" s="789"/>
    </row>
    <row r="37" spans="1:16" x14ac:dyDescent="0.25">
      <c r="A37" s="275">
        <v>5.34</v>
      </c>
      <c r="B37" s="274">
        <v>42531</v>
      </c>
      <c r="C37" s="275"/>
      <c r="D37" s="788" t="s">
        <v>890</v>
      </c>
      <c r="E37" s="789"/>
      <c r="F37" s="789"/>
      <c r="G37" s="789"/>
      <c r="H37" s="789"/>
      <c r="I37" s="789"/>
      <c r="J37" s="789"/>
      <c r="K37" s="789"/>
      <c r="L37" s="789"/>
      <c r="M37" s="789"/>
      <c r="N37" s="789"/>
      <c r="O37" s="789"/>
      <c r="P37" s="789"/>
    </row>
    <row r="38" spans="1:16" x14ac:dyDescent="0.25">
      <c r="A38" s="275">
        <v>5.35</v>
      </c>
      <c r="B38" s="274">
        <v>42621</v>
      </c>
      <c r="C38" s="275"/>
      <c r="D38" s="788" t="s">
        <v>891</v>
      </c>
      <c r="E38" s="789"/>
      <c r="F38" s="789"/>
      <c r="G38" s="789"/>
      <c r="H38" s="789"/>
      <c r="I38" s="789"/>
      <c r="J38" s="789"/>
      <c r="K38" s="789"/>
      <c r="L38" s="789"/>
      <c r="M38" s="789"/>
      <c r="N38" s="789"/>
      <c r="O38" s="789"/>
      <c r="P38" s="789"/>
    </row>
    <row r="39" spans="1:16" x14ac:dyDescent="0.25">
      <c r="A39" s="275">
        <v>5.36</v>
      </c>
      <c r="B39" s="274">
        <v>42739</v>
      </c>
      <c r="C39" s="275"/>
      <c r="D39" s="788" t="s">
        <v>892</v>
      </c>
      <c r="E39" s="789"/>
      <c r="F39" s="789"/>
      <c r="G39" s="789"/>
      <c r="H39" s="789"/>
      <c r="I39" s="789"/>
      <c r="J39" s="789"/>
      <c r="K39" s="789"/>
      <c r="L39" s="789"/>
      <c r="M39" s="789"/>
      <c r="N39" s="789"/>
      <c r="O39" s="789"/>
      <c r="P39" s="789"/>
    </row>
    <row r="40" spans="1:16" x14ac:dyDescent="0.25">
      <c r="A40" s="275">
        <v>5.37</v>
      </c>
      <c r="B40" s="274">
        <v>42823</v>
      </c>
      <c r="C40" s="275"/>
      <c r="D40" s="788" t="s">
        <v>893</v>
      </c>
      <c r="E40" s="789"/>
      <c r="F40" s="789"/>
      <c r="G40" s="789"/>
      <c r="H40" s="789"/>
      <c r="I40" s="789"/>
      <c r="J40" s="789"/>
      <c r="K40" s="789"/>
      <c r="L40" s="789"/>
      <c r="M40" s="789"/>
      <c r="N40" s="789"/>
      <c r="O40" s="789"/>
      <c r="P40" s="789"/>
    </row>
    <row r="41" spans="1:16" x14ac:dyDescent="0.25">
      <c r="A41" s="275">
        <v>5.38</v>
      </c>
      <c r="B41" s="573">
        <v>42923</v>
      </c>
      <c r="C41" s="574"/>
      <c r="D41" s="790" t="s">
        <v>894</v>
      </c>
      <c r="E41" s="791"/>
      <c r="F41" s="791"/>
      <c r="G41" s="791"/>
      <c r="H41" s="791"/>
      <c r="I41" s="791"/>
      <c r="J41" s="791"/>
      <c r="K41" s="791"/>
      <c r="L41" s="791"/>
      <c r="M41" s="791"/>
      <c r="N41" s="791"/>
      <c r="O41" s="791"/>
      <c r="P41" s="791"/>
    </row>
    <row r="42" spans="1:16" x14ac:dyDescent="0.25">
      <c r="A42" s="275">
        <v>5.39</v>
      </c>
      <c r="B42" s="573">
        <v>43003</v>
      </c>
      <c r="C42" s="574"/>
      <c r="D42" s="790" t="s">
        <v>895</v>
      </c>
      <c r="E42" s="791"/>
      <c r="F42" s="791"/>
      <c r="G42" s="791"/>
      <c r="H42" s="791"/>
      <c r="I42" s="791"/>
      <c r="J42" s="791"/>
      <c r="K42" s="791"/>
      <c r="L42" s="791"/>
      <c r="M42" s="791"/>
      <c r="N42" s="791"/>
      <c r="O42" s="791"/>
      <c r="P42" s="791"/>
    </row>
    <row r="43" spans="1:16" x14ac:dyDescent="0.25">
      <c r="A43" s="575" t="s">
        <v>896</v>
      </c>
      <c r="B43" s="573">
        <v>43082</v>
      </c>
      <c r="C43" s="574"/>
      <c r="D43" s="792" t="s">
        <v>898</v>
      </c>
      <c r="E43" s="765"/>
      <c r="F43" s="765"/>
      <c r="G43" s="765"/>
      <c r="H43" s="765"/>
      <c r="I43" s="765"/>
      <c r="J43" s="765"/>
      <c r="K43" s="765"/>
      <c r="L43" s="765"/>
      <c r="M43" s="765"/>
      <c r="N43" s="765"/>
      <c r="O43" s="765"/>
      <c r="P43" s="766"/>
    </row>
    <row r="44" spans="1:16" x14ac:dyDescent="0.25">
      <c r="A44" s="275">
        <v>5.41</v>
      </c>
      <c r="B44" s="274">
        <v>43179</v>
      </c>
      <c r="C44" s="275"/>
      <c r="D44" s="788" t="s">
        <v>897</v>
      </c>
      <c r="E44" s="789"/>
      <c r="F44" s="789"/>
      <c r="G44" s="789"/>
      <c r="H44" s="789"/>
      <c r="I44" s="789"/>
      <c r="J44" s="789"/>
      <c r="K44" s="789"/>
      <c r="L44" s="789"/>
      <c r="M44" s="789"/>
      <c r="N44" s="789"/>
      <c r="O44" s="789"/>
      <c r="P44" s="789"/>
    </row>
    <row r="45" spans="1:16" x14ac:dyDescent="0.25">
      <c r="A45" s="275">
        <v>5.42</v>
      </c>
      <c r="B45" s="274">
        <v>43256</v>
      </c>
      <c r="C45" s="275"/>
      <c r="D45" s="764" t="s">
        <v>899</v>
      </c>
      <c r="E45" s="765"/>
      <c r="F45" s="765"/>
      <c r="G45" s="765"/>
      <c r="H45" s="765"/>
      <c r="I45" s="765"/>
      <c r="J45" s="765"/>
      <c r="K45" s="765"/>
      <c r="L45" s="765"/>
      <c r="M45" s="765"/>
      <c r="N45" s="765"/>
      <c r="O45" s="765"/>
      <c r="P45" s="766"/>
    </row>
    <row r="46" spans="1:16" x14ac:dyDescent="0.25">
      <c r="A46" s="275">
        <v>5.43</v>
      </c>
      <c r="B46" s="274">
        <v>43368</v>
      </c>
      <c r="C46" s="275"/>
      <c r="D46" s="764" t="s">
        <v>900</v>
      </c>
      <c r="E46" s="765"/>
      <c r="F46" s="765"/>
      <c r="G46" s="765"/>
      <c r="H46" s="765"/>
      <c r="I46" s="765"/>
      <c r="J46" s="765"/>
      <c r="K46" s="765"/>
      <c r="L46" s="765"/>
      <c r="M46" s="765"/>
      <c r="N46" s="765"/>
      <c r="O46" s="765"/>
      <c r="P46" s="766"/>
    </row>
    <row r="47" spans="1:16" x14ac:dyDescent="0.25">
      <c r="A47" s="275">
        <v>5.44</v>
      </c>
      <c r="B47" s="274">
        <v>43451</v>
      </c>
      <c r="C47" s="275"/>
      <c r="D47" s="764" t="s">
        <v>901</v>
      </c>
      <c r="E47" s="765"/>
      <c r="F47" s="765"/>
      <c r="G47" s="765"/>
      <c r="H47" s="765"/>
      <c r="I47" s="765"/>
      <c r="J47" s="765"/>
      <c r="K47" s="765"/>
      <c r="L47" s="765"/>
      <c r="M47" s="765"/>
      <c r="N47" s="765"/>
      <c r="O47" s="765"/>
      <c r="P47" s="766"/>
    </row>
    <row r="48" spans="1:16" x14ac:dyDescent="0.25">
      <c r="A48" s="275">
        <v>5.45</v>
      </c>
      <c r="B48" s="274">
        <v>43549</v>
      </c>
      <c r="C48" s="275"/>
      <c r="D48" s="764" t="s">
        <v>901</v>
      </c>
      <c r="E48" s="765"/>
      <c r="F48" s="765"/>
      <c r="G48" s="765"/>
      <c r="H48" s="765"/>
      <c r="I48" s="765"/>
      <c r="J48" s="765"/>
      <c r="K48" s="765"/>
      <c r="L48" s="765"/>
      <c r="M48" s="765"/>
      <c r="N48" s="765"/>
      <c r="O48" s="765"/>
      <c r="P48" s="766"/>
    </row>
    <row r="49" spans="1:16" x14ac:dyDescent="0.25">
      <c r="A49" s="275">
        <v>5.46</v>
      </c>
      <c r="B49" s="274">
        <v>43657</v>
      </c>
      <c r="C49" s="275"/>
      <c r="D49" s="764" t="s">
        <v>901</v>
      </c>
      <c r="E49" s="765"/>
      <c r="F49" s="765"/>
      <c r="G49" s="765"/>
      <c r="H49" s="765"/>
      <c r="I49" s="765"/>
      <c r="J49" s="765"/>
      <c r="K49" s="765"/>
      <c r="L49" s="765"/>
      <c r="M49" s="765"/>
      <c r="N49" s="765"/>
      <c r="O49" s="765"/>
      <c r="P49" s="766"/>
    </row>
    <row r="50" spans="1:16" x14ac:dyDescent="0.25">
      <c r="A50" s="275">
        <v>5.47</v>
      </c>
      <c r="B50" s="274">
        <v>44062</v>
      </c>
      <c r="C50" s="275"/>
      <c r="D50" s="764" t="s">
        <v>901</v>
      </c>
      <c r="E50" s="765"/>
      <c r="F50" s="765"/>
      <c r="G50" s="765"/>
      <c r="H50" s="765"/>
      <c r="I50" s="765"/>
      <c r="J50" s="765"/>
      <c r="K50" s="765"/>
      <c r="L50" s="765"/>
      <c r="M50" s="765"/>
      <c r="N50" s="765"/>
      <c r="O50" s="765"/>
      <c r="P50" s="766"/>
    </row>
    <row r="51" spans="1:16" x14ac:dyDescent="0.25">
      <c r="A51" s="275">
        <v>5.48</v>
      </c>
      <c r="B51" s="274">
        <v>44141</v>
      </c>
      <c r="C51" s="275"/>
      <c r="D51" s="764" t="s">
        <v>901</v>
      </c>
      <c r="E51" s="765"/>
      <c r="F51" s="765"/>
      <c r="G51" s="765"/>
      <c r="H51" s="765"/>
      <c r="I51" s="765"/>
      <c r="J51" s="765"/>
      <c r="K51" s="765"/>
      <c r="L51" s="765"/>
      <c r="M51" s="765"/>
      <c r="N51" s="765"/>
      <c r="O51" s="765"/>
      <c r="P51" s="766"/>
    </row>
    <row r="52" spans="1:16" x14ac:dyDescent="0.25">
      <c r="A52" s="275">
        <v>5.49</v>
      </c>
      <c r="B52" s="274">
        <v>44228</v>
      </c>
      <c r="C52" s="275"/>
      <c r="D52" s="764" t="s">
        <v>901</v>
      </c>
      <c r="E52" s="765"/>
      <c r="F52" s="765"/>
      <c r="G52" s="765"/>
      <c r="H52" s="765"/>
      <c r="I52" s="765"/>
      <c r="J52" s="765"/>
      <c r="K52" s="765"/>
      <c r="L52" s="765"/>
      <c r="M52" s="765"/>
      <c r="N52" s="765"/>
      <c r="O52" s="765"/>
      <c r="P52" s="766"/>
    </row>
    <row r="53" spans="1:16" x14ac:dyDescent="0.25">
      <c r="A53" s="576">
        <v>5.5</v>
      </c>
      <c r="B53" s="274">
        <v>44231</v>
      </c>
      <c r="C53" s="275"/>
      <c r="D53" s="764" t="s">
        <v>901</v>
      </c>
      <c r="E53" s="765"/>
      <c r="F53" s="765"/>
      <c r="G53" s="765"/>
      <c r="H53" s="765"/>
      <c r="I53" s="765"/>
      <c r="J53" s="765"/>
      <c r="K53" s="765"/>
      <c r="L53" s="765"/>
      <c r="M53" s="765"/>
      <c r="N53" s="765"/>
      <c r="O53" s="765"/>
      <c r="P53" s="766"/>
    </row>
    <row r="54" spans="1:16" x14ac:dyDescent="0.25">
      <c r="A54" s="580" t="s">
        <v>905</v>
      </c>
      <c r="B54" s="274">
        <v>44377</v>
      </c>
      <c r="C54" s="275"/>
      <c r="D54" s="764" t="s">
        <v>901</v>
      </c>
      <c r="E54" s="765"/>
      <c r="F54" s="765"/>
      <c r="G54" s="765"/>
      <c r="H54" s="765"/>
      <c r="I54" s="765"/>
      <c r="J54" s="765"/>
      <c r="K54" s="765"/>
      <c r="L54" s="765"/>
      <c r="M54" s="765"/>
      <c r="N54" s="765"/>
      <c r="O54" s="765"/>
      <c r="P54" s="766"/>
    </row>
    <row r="55" spans="1:16" x14ac:dyDescent="0.25">
      <c r="A55" s="576">
        <v>5.52</v>
      </c>
      <c r="B55" s="274">
        <v>44463</v>
      </c>
      <c r="C55" s="275"/>
      <c r="D55" s="764" t="s">
        <v>901</v>
      </c>
      <c r="E55" s="765"/>
      <c r="F55" s="765"/>
      <c r="G55" s="765"/>
      <c r="H55" s="765"/>
      <c r="I55" s="765"/>
      <c r="J55" s="765"/>
      <c r="K55" s="765"/>
      <c r="L55" s="765"/>
      <c r="M55" s="765"/>
      <c r="N55" s="765"/>
      <c r="O55" s="765"/>
      <c r="P55" s="766"/>
    </row>
    <row r="56" spans="1:16" x14ac:dyDescent="0.25">
      <c r="A56" s="576">
        <v>5.53</v>
      </c>
      <c r="B56" s="274">
        <v>44582</v>
      </c>
      <c r="C56" s="275"/>
      <c r="D56" s="764" t="s">
        <v>901</v>
      </c>
      <c r="E56" s="765"/>
      <c r="F56" s="765"/>
      <c r="G56" s="765"/>
      <c r="H56" s="765"/>
      <c r="I56" s="765"/>
      <c r="J56" s="765"/>
      <c r="K56" s="765"/>
      <c r="L56" s="765"/>
      <c r="M56" s="765"/>
      <c r="N56" s="765"/>
      <c r="O56" s="765"/>
      <c r="P56" s="766"/>
    </row>
    <row r="57" spans="1:16" x14ac:dyDescent="0.25">
      <c r="A57" s="576">
        <v>5.54</v>
      </c>
      <c r="B57" s="274">
        <v>44637</v>
      </c>
      <c r="C57" s="275"/>
      <c r="D57" s="764" t="s">
        <v>901</v>
      </c>
      <c r="E57" s="765"/>
      <c r="F57" s="765"/>
      <c r="G57" s="765"/>
      <c r="H57" s="765"/>
      <c r="I57" s="765"/>
      <c r="J57" s="765"/>
      <c r="K57" s="765"/>
      <c r="L57" s="765"/>
      <c r="M57" s="765"/>
      <c r="N57" s="765"/>
      <c r="O57" s="765"/>
      <c r="P57" s="766"/>
    </row>
    <row r="58" spans="1:16" x14ac:dyDescent="0.25">
      <c r="A58" s="576">
        <v>5.55</v>
      </c>
      <c r="B58" s="274">
        <v>44743</v>
      </c>
      <c r="C58" s="275"/>
      <c r="D58" s="764" t="s">
        <v>901</v>
      </c>
      <c r="E58" s="765"/>
      <c r="F58" s="765"/>
      <c r="G58" s="765"/>
      <c r="H58" s="765"/>
      <c r="I58" s="765"/>
      <c r="J58" s="765"/>
      <c r="K58" s="765"/>
      <c r="L58" s="765"/>
      <c r="M58" s="765"/>
      <c r="N58" s="765"/>
      <c r="O58" s="765"/>
      <c r="P58" s="766"/>
    </row>
    <row r="59" spans="1:16" x14ac:dyDescent="0.25">
      <c r="A59" s="576">
        <v>5.56</v>
      </c>
      <c r="B59" s="274">
        <v>44839</v>
      </c>
      <c r="C59" s="275"/>
      <c r="D59" s="764" t="s">
        <v>901</v>
      </c>
      <c r="E59" s="765"/>
      <c r="F59" s="765"/>
      <c r="G59" s="765"/>
      <c r="H59" s="765"/>
      <c r="I59" s="765"/>
      <c r="J59" s="765"/>
      <c r="K59" s="765"/>
      <c r="L59" s="765"/>
      <c r="M59" s="765"/>
      <c r="N59" s="765"/>
      <c r="O59" s="765"/>
      <c r="P59" s="766"/>
    </row>
    <row r="60" spans="1:16" x14ac:dyDescent="0.25">
      <c r="A60" s="576">
        <v>5.57</v>
      </c>
      <c r="B60" s="274">
        <v>44904</v>
      </c>
      <c r="C60" s="275"/>
      <c r="D60" s="764" t="s">
        <v>901</v>
      </c>
      <c r="E60" s="765"/>
      <c r="F60" s="765"/>
      <c r="G60" s="765"/>
      <c r="H60" s="765"/>
      <c r="I60" s="765"/>
      <c r="J60" s="765"/>
      <c r="K60" s="765"/>
      <c r="L60" s="765"/>
      <c r="M60" s="765"/>
      <c r="N60" s="765"/>
      <c r="O60" s="765"/>
      <c r="P60" s="766"/>
    </row>
    <row r="61" spans="1:16" x14ac:dyDescent="0.25">
      <c r="A61" s="576">
        <v>5.58</v>
      </c>
      <c r="B61" s="274">
        <v>44977</v>
      </c>
      <c r="C61" s="275"/>
      <c r="D61" s="764" t="s">
        <v>901</v>
      </c>
      <c r="E61" s="765"/>
      <c r="F61" s="765"/>
      <c r="G61" s="765"/>
      <c r="H61" s="765"/>
      <c r="I61" s="765"/>
      <c r="J61" s="765"/>
      <c r="K61" s="765"/>
      <c r="L61" s="765"/>
      <c r="M61" s="765"/>
      <c r="N61" s="765"/>
      <c r="O61" s="765"/>
      <c r="P61" s="766"/>
    </row>
    <row r="62" spans="1:16" x14ac:dyDescent="0.25">
      <c r="A62" s="576">
        <v>5.59</v>
      </c>
      <c r="B62" s="274">
        <v>45076</v>
      </c>
      <c r="C62" s="275"/>
      <c r="D62" s="764" t="s">
        <v>901</v>
      </c>
      <c r="E62" s="765"/>
      <c r="F62" s="765"/>
      <c r="G62" s="765"/>
      <c r="H62" s="765"/>
      <c r="I62" s="765"/>
      <c r="J62" s="765"/>
      <c r="K62" s="765"/>
      <c r="L62" s="765"/>
      <c r="M62" s="765"/>
      <c r="N62" s="765"/>
      <c r="O62" s="765"/>
      <c r="P62" s="766"/>
    </row>
    <row r="63" spans="1:16" x14ac:dyDescent="0.25">
      <c r="A63" s="580" t="s">
        <v>904</v>
      </c>
      <c r="B63" s="581">
        <v>45142</v>
      </c>
      <c r="C63" s="275"/>
      <c r="D63" s="764" t="s">
        <v>901</v>
      </c>
      <c r="E63" s="765"/>
      <c r="F63" s="765"/>
      <c r="G63" s="765"/>
      <c r="H63" s="765"/>
      <c r="I63" s="765"/>
      <c r="J63" s="765"/>
      <c r="K63" s="765"/>
      <c r="L63" s="765"/>
      <c r="M63" s="765"/>
      <c r="N63" s="765"/>
      <c r="O63" s="765"/>
      <c r="P63" s="766"/>
    </row>
    <row r="64" spans="1:16" x14ac:dyDescent="0.25">
      <c r="A64" s="576">
        <v>5.61</v>
      </c>
      <c r="B64" s="274">
        <v>45337</v>
      </c>
      <c r="C64" s="275"/>
      <c r="D64" s="764" t="s">
        <v>901</v>
      </c>
      <c r="E64" s="765"/>
      <c r="F64" s="765"/>
      <c r="G64" s="765"/>
      <c r="H64" s="765"/>
      <c r="I64" s="765"/>
      <c r="J64" s="765"/>
      <c r="K64" s="765"/>
      <c r="L64" s="765"/>
      <c r="M64" s="765"/>
      <c r="N64" s="765"/>
      <c r="O64" s="765"/>
      <c r="P64" s="766"/>
    </row>
    <row r="65" spans="1:16" x14ac:dyDescent="0.25">
      <c r="A65" s="576">
        <v>5.62</v>
      </c>
      <c r="B65" s="274">
        <v>45527</v>
      </c>
      <c r="C65" s="275"/>
      <c r="D65" s="764" t="s">
        <v>906</v>
      </c>
      <c r="E65" s="765"/>
      <c r="F65" s="765"/>
      <c r="G65" s="765"/>
      <c r="H65" s="765"/>
      <c r="I65" s="765"/>
      <c r="J65" s="765"/>
      <c r="K65" s="765"/>
      <c r="L65" s="765"/>
      <c r="M65" s="765"/>
      <c r="N65" s="765"/>
      <c r="O65" s="765"/>
      <c r="P65" s="766"/>
    </row>
    <row r="66" spans="1:16" x14ac:dyDescent="0.25">
      <c r="A66" s="576"/>
      <c r="B66" s="274"/>
      <c r="C66" s="275"/>
      <c r="D66" s="764"/>
      <c r="E66" s="765"/>
      <c r="F66" s="765"/>
      <c r="G66" s="765"/>
      <c r="H66" s="765"/>
      <c r="I66" s="765"/>
      <c r="J66" s="765"/>
      <c r="K66" s="765"/>
      <c r="L66" s="765"/>
      <c r="M66" s="765"/>
      <c r="N66" s="765"/>
      <c r="O66" s="765"/>
      <c r="P66" s="766"/>
    </row>
    <row r="67" spans="1:16" x14ac:dyDescent="0.25">
      <c r="A67" s="576"/>
      <c r="B67" s="274"/>
      <c r="C67" s="275"/>
      <c r="D67" s="764"/>
      <c r="E67" s="765"/>
      <c r="F67" s="765"/>
      <c r="G67" s="765"/>
      <c r="H67" s="765"/>
      <c r="I67" s="765"/>
      <c r="J67" s="765"/>
      <c r="K67" s="765"/>
      <c r="L67" s="765"/>
      <c r="M67" s="765"/>
      <c r="N67" s="765"/>
      <c r="O67" s="765"/>
      <c r="P67" s="766"/>
    </row>
    <row r="68" spans="1:16" x14ac:dyDescent="0.25">
      <c r="A68" s="576"/>
      <c r="B68" s="274"/>
      <c r="C68" s="275"/>
      <c r="D68" s="764"/>
      <c r="E68" s="765"/>
      <c r="F68" s="765"/>
      <c r="G68" s="765"/>
      <c r="H68" s="765"/>
      <c r="I68" s="765"/>
      <c r="J68" s="765"/>
      <c r="K68" s="765"/>
      <c r="L68" s="765"/>
      <c r="M68" s="765"/>
      <c r="N68" s="765"/>
      <c r="O68" s="765"/>
      <c r="P68" s="766"/>
    </row>
    <row r="69" spans="1:16" x14ac:dyDescent="0.25">
      <c r="A69" s="576"/>
      <c r="B69" s="274"/>
      <c r="C69" s="275"/>
      <c r="D69" s="764"/>
      <c r="E69" s="765"/>
      <c r="F69" s="765"/>
      <c r="G69" s="765"/>
      <c r="H69" s="765"/>
      <c r="I69" s="765"/>
      <c r="J69" s="765"/>
      <c r="K69" s="765"/>
      <c r="L69" s="765"/>
      <c r="M69" s="765"/>
      <c r="N69" s="765"/>
      <c r="O69" s="765"/>
      <c r="P69" s="766"/>
    </row>
    <row r="70" spans="1:16" x14ac:dyDescent="0.25">
      <c r="A70" s="576"/>
      <c r="B70" s="274"/>
      <c r="C70" s="275"/>
      <c r="D70" s="764"/>
      <c r="E70" s="765"/>
      <c r="F70" s="765"/>
      <c r="G70" s="765"/>
      <c r="H70" s="765"/>
      <c r="I70" s="765"/>
      <c r="J70" s="765"/>
      <c r="K70" s="765"/>
      <c r="L70" s="765"/>
      <c r="M70" s="765"/>
      <c r="N70" s="765"/>
      <c r="O70" s="765"/>
      <c r="P70" s="766"/>
    </row>
  </sheetData>
  <mergeCells count="70">
    <mergeCell ref="D53:P53"/>
    <mergeCell ref="D47:P47"/>
    <mergeCell ref="D48:P48"/>
    <mergeCell ref="D46:P46"/>
    <mergeCell ref="D45:P45"/>
    <mergeCell ref="D49:P49"/>
    <mergeCell ref="D50:P50"/>
    <mergeCell ref="D51:P51"/>
    <mergeCell ref="D52:P52"/>
    <mergeCell ref="D30:P30"/>
    <mergeCell ref="D37:P37"/>
    <mergeCell ref="D38:P38"/>
    <mergeCell ref="D39:P39"/>
    <mergeCell ref="D40:P40"/>
    <mergeCell ref="D36:P36"/>
    <mergeCell ref="D44:P44"/>
    <mergeCell ref="D33:P33"/>
    <mergeCell ref="D32:P32"/>
    <mergeCell ref="D31:P31"/>
    <mergeCell ref="D34:P34"/>
    <mergeCell ref="D35:P35"/>
    <mergeCell ref="D41:P41"/>
    <mergeCell ref="D42:P42"/>
    <mergeCell ref="D43:P43"/>
    <mergeCell ref="D20:P20"/>
    <mergeCell ref="D9:P9"/>
    <mergeCell ref="D12:P12"/>
    <mergeCell ref="D29:P29"/>
    <mergeCell ref="D27:P27"/>
    <mergeCell ref="D28:P28"/>
    <mergeCell ref="D26:P26"/>
    <mergeCell ref="D11:P11"/>
    <mergeCell ref="D25:P25"/>
    <mergeCell ref="D19:P19"/>
    <mergeCell ref="D24:P24"/>
    <mergeCell ref="D13:P13"/>
    <mergeCell ref="D23:P23"/>
    <mergeCell ref="D21:P21"/>
    <mergeCell ref="D22:P22"/>
    <mergeCell ref="D1:P1"/>
    <mergeCell ref="D15:P15"/>
    <mergeCell ref="D16:P16"/>
    <mergeCell ref="D17:P17"/>
    <mergeCell ref="D18:P18"/>
    <mergeCell ref="D4:P4"/>
    <mergeCell ref="D2:P2"/>
    <mergeCell ref="D3:P3"/>
    <mergeCell ref="D14:P14"/>
    <mergeCell ref="D5:P5"/>
    <mergeCell ref="D10:P10"/>
    <mergeCell ref="D8:P8"/>
    <mergeCell ref="D6:P6"/>
    <mergeCell ref="D7:P7"/>
    <mergeCell ref="D65:P65"/>
    <mergeCell ref="D58:P58"/>
    <mergeCell ref="D54:P54"/>
    <mergeCell ref="D55:P55"/>
    <mergeCell ref="D56:P56"/>
    <mergeCell ref="D57:P57"/>
    <mergeCell ref="D59:P59"/>
    <mergeCell ref="D60:P60"/>
    <mergeCell ref="D61:P61"/>
    <mergeCell ref="D62:P62"/>
    <mergeCell ref="D63:P63"/>
    <mergeCell ref="D64:P64"/>
    <mergeCell ref="D66:P66"/>
    <mergeCell ref="D67:P67"/>
    <mergeCell ref="D68:P68"/>
    <mergeCell ref="D69:P69"/>
    <mergeCell ref="D70:P70"/>
  </mergeCells>
  <phoneticPr fontId="4" type="noConversion"/>
  <pageMargins left="0.75" right="0.75" top="1" bottom="1" header="0.5" footer="0.5"/>
  <pageSetup paperSize="9" orientation="landscape" horizontalDpi="300" verticalDpi="300" r:id="rId1"/>
  <headerFooter alignWithMargins="0"/>
  <ignoredErrors>
    <ignoredError sqref="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45"/>
  <sheetViews>
    <sheetView showGridLines="0" zoomScale="75" workbookViewId="0">
      <selection activeCell="J14" sqref="J14"/>
    </sheetView>
  </sheetViews>
  <sheetFormatPr defaultColWidth="9.109375" defaultRowHeight="13.2" x14ac:dyDescent="0.25"/>
  <cols>
    <col min="1" max="1" width="3.44140625" style="285" customWidth="1"/>
    <col min="2" max="3" width="9.33203125" style="285" customWidth="1"/>
    <col min="4" max="4" width="10.5546875" style="285" customWidth="1"/>
    <col min="5" max="5" width="16" style="285" customWidth="1"/>
    <col min="6" max="6" width="18.88671875" style="285" customWidth="1"/>
    <col min="7" max="7" width="18.44140625" style="285" customWidth="1"/>
    <col min="8" max="8" width="17.88671875" style="285" customWidth="1"/>
    <col min="9" max="10" width="16" style="285" customWidth="1"/>
    <col min="11" max="11" width="10.109375" style="285" customWidth="1"/>
    <col min="12" max="12" width="11.5546875" style="285" customWidth="1"/>
    <col min="13" max="16" width="16" style="285" customWidth="1"/>
    <col min="17" max="17" width="16.33203125" style="285" customWidth="1"/>
    <col min="18" max="18" width="11.33203125" style="285" customWidth="1"/>
    <col min="19" max="19" width="16.44140625" style="285" customWidth="1"/>
    <col min="20" max="20" width="11.33203125" style="285" customWidth="1"/>
    <col min="21" max="21" width="16.33203125" style="285" customWidth="1"/>
    <col min="22" max="22" width="15.6640625" style="285" customWidth="1"/>
    <col min="23" max="23" width="5.88671875" style="285" customWidth="1"/>
    <col min="24" max="24" width="6.33203125" style="285" customWidth="1"/>
    <col min="25" max="16384" width="9.109375" style="285"/>
  </cols>
  <sheetData>
    <row r="1" spans="1:12" ht="15.6" x14ac:dyDescent="0.3">
      <c r="A1" s="279" t="s">
        <v>134</v>
      </c>
    </row>
    <row r="2" spans="1:12" ht="15" customHeight="1" x14ac:dyDescent="0.25">
      <c r="B2" s="553" t="str">
        <f>Welcome!B7</f>
        <v>Version 5.62</v>
      </c>
    </row>
    <row r="3" spans="1:12" ht="15" customHeight="1" x14ac:dyDescent="0.25">
      <c r="A3" s="285">
        <v>1</v>
      </c>
      <c r="B3" s="159" t="s">
        <v>788</v>
      </c>
      <c r="C3" s="159"/>
    </row>
    <row r="4" spans="1:12" ht="15" customHeight="1" x14ac:dyDescent="0.25">
      <c r="B4" s="607" t="s">
        <v>580</v>
      </c>
      <c r="C4" s="608"/>
      <c r="D4" s="609"/>
      <c r="E4" s="607" t="s">
        <v>788</v>
      </c>
      <c r="F4" s="608"/>
      <c r="G4" s="608"/>
      <c r="H4" s="608"/>
      <c r="I4" s="608"/>
      <c r="J4" s="609"/>
    </row>
    <row r="5" spans="1:12" ht="15" customHeight="1" x14ac:dyDescent="0.25">
      <c r="B5" s="353" t="s">
        <v>792</v>
      </c>
      <c r="C5" s="354"/>
      <c r="D5" s="355"/>
      <c r="E5" s="613"/>
      <c r="F5" s="614"/>
      <c r="G5" s="614"/>
      <c r="H5" s="614"/>
      <c r="I5" s="614"/>
      <c r="J5" s="615"/>
    </row>
    <row r="6" spans="1:12" ht="15" customHeight="1" x14ac:dyDescent="0.25">
      <c r="B6" s="356" t="s">
        <v>791</v>
      </c>
      <c r="C6" s="357"/>
      <c r="D6" s="358"/>
      <c r="E6" s="613"/>
      <c r="F6" s="614"/>
      <c r="G6" s="614"/>
      <c r="H6" s="614"/>
      <c r="I6" s="614"/>
      <c r="J6" s="615"/>
      <c r="K6" s="359"/>
    </row>
    <row r="7" spans="1:12" ht="15" customHeight="1" x14ac:dyDescent="0.25">
      <c r="B7" s="356" t="s">
        <v>789</v>
      </c>
      <c r="C7" s="357"/>
      <c r="D7" s="358"/>
      <c r="E7" s="613"/>
      <c r="F7" s="614"/>
      <c r="G7" s="614"/>
      <c r="H7" s="614"/>
      <c r="I7" s="614"/>
      <c r="J7" s="615"/>
      <c r="K7" s="359"/>
    </row>
    <row r="8" spans="1:12" ht="15" customHeight="1" x14ac:dyDescent="0.25">
      <c r="B8" s="360" t="s">
        <v>790</v>
      </c>
      <c r="C8" s="361"/>
      <c r="D8" s="362"/>
      <c r="E8" s="613"/>
      <c r="F8" s="614"/>
      <c r="G8" s="614"/>
      <c r="H8" s="614"/>
      <c r="I8" s="614"/>
      <c r="J8" s="615"/>
    </row>
    <row r="9" spans="1:12" ht="15" customHeight="1" x14ac:dyDescent="0.25">
      <c r="B9" s="360" t="s">
        <v>794</v>
      </c>
      <c r="C9" s="361"/>
      <c r="D9" s="362"/>
      <c r="E9" s="610"/>
      <c r="F9" s="611"/>
      <c r="G9" s="611"/>
      <c r="H9" s="611"/>
      <c r="I9" s="611"/>
      <c r="J9" s="612"/>
      <c r="K9" s="363"/>
    </row>
    <row r="10" spans="1:12" ht="15" customHeight="1" x14ac:dyDescent="0.25">
      <c r="B10" s="360" t="s">
        <v>793</v>
      </c>
      <c r="C10" s="361"/>
      <c r="D10" s="362"/>
      <c r="E10" s="613"/>
      <c r="F10" s="614"/>
      <c r="G10" s="614"/>
      <c r="H10" s="614"/>
      <c r="I10" s="614"/>
      <c r="J10" s="615"/>
      <c r="K10" s="363"/>
      <c r="L10" s="364"/>
    </row>
    <row r="11" spans="1:12" ht="15" customHeight="1" x14ac:dyDescent="0.25"/>
    <row r="12" spans="1:12" ht="15" customHeight="1" x14ac:dyDescent="0.25">
      <c r="A12" s="285">
        <v>2</v>
      </c>
      <c r="B12" s="159" t="s">
        <v>796</v>
      </c>
      <c r="F12" s="159" t="s">
        <v>747</v>
      </c>
    </row>
    <row r="13" spans="1:12" ht="15" customHeight="1" x14ac:dyDescent="0.25">
      <c r="B13" s="584" t="s">
        <v>580</v>
      </c>
      <c r="C13" s="585"/>
      <c r="D13" s="105" t="s">
        <v>803</v>
      </c>
      <c r="F13" s="105" t="s">
        <v>846</v>
      </c>
      <c r="G13" s="105" t="s">
        <v>803</v>
      </c>
      <c r="H13" s="105" t="s">
        <v>244</v>
      </c>
    </row>
    <row r="14" spans="1:12" ht="15" customHeight="1" x14ac:dyDescent="0.25">
      <c r="B14" s="586" t="s">
        <v>902</v>
      </c>
      <c r="C14" s="587"/>
      <c r="D14" s="577">
        <v>45627</v>
      </c>
      <c r="F14" s="400" t="str">
        <f>+IF(D16/'June 2009 Summary'!D15&lt;Summary!D17/'June 2009 Summary'!D16,Summary!B16,Summary!B17)</f>
        <v>RBCI</v>
      </c>
      <c r="G14" s="400">
        <f>+VLOOKUP(F14,B16:D17,3)</f>
        <v>141.1</v>
      </c>
      <c r="H14" s="418">
        <f>+VLOOKUP(F14,B16:D17,3)/VLOOKUP(F14,'June 2009 Summary'!B15:D16,3)</f>
        <v>1.482142857142857</v>
      </c>
    </row>
    <row r="15" spans="1:12" ht="15" customHeight="1" x14ac:dyDescent="0.25">
      <c r="B15" s="586" t="s">
        <v>903</v>
      </c>
      <c r="C15" s="587"/>
      <c r="D15" s="577">
        <v>45444</v>
      </c>
    </row>
    <row r="16" spans="1:12" ht="15" customHeight="1" x14ac:dyDescent="0.25">
      <c r="B16" s="603" t="s">
        <v>597</v>
      </c>
      <c r="C16" s="604"/>
      <c r="D16" s="578">
        <v>140.6</v>
      </c>
    </row>
    <row r="17" spans="1:26" ht="15" customHeight="1" x14ac:dyDescent="0.25">
      <c r="B17" s="588" t="s">
        <v>797</v>
      </c>
      <c r="C17" s="589"/>
      <c r="D17" s="579">
        <v>141.1</v>
      </c>
    </row>
    <row r="18" spans="1:26" ht="15" customHeight="1" x14ac:dyDescent="0.25">
      <c r="B18" s="366"/>
    </row>
    <row r="19" spans="1:26" ht="15" customHeight="1" x14ac:dyDescent="0.25">
      <c r="B19" s="366"/>
    </row>
    <row r="20" spans="1:26" s="363" customFormat="1" ht="15" customHeight="1" x14ac:dyDescent="0.25">
      <c r="A20" s="363">
        <v>3</v>
      </c>
      <c r="B20" s="367" t="s">
        <v>795</v>
      </c>
      <c r="C20" s="367"/>
      <c r="D20" s="368"/>
      <c r="E20" s="368"/>
      <c r="F20" s="369"/>
      <c r="G20" s="369"/>
      <c r="H20" s="369"/>
      <c r="I20" s="368"/>
      <c r="J20" s="369"/>
      <c r="L20" s="364"/>
    </row>
    <row r="21" spans="1:26" s="363" customFormat="1" ht="27.75" customHeight="1" x14ac:dyDescent="0.25">
      <c r="B21" s="595" t="s">
        <v>795</v>
      </c>
      <c r="C21" s="596"/>
      <c r="D21" s="596"/>
      <c r="E21" s="597"/>
      <c r="F21" s="346" t="s">
        <v>214</v>
      </c>
      <c r="G21" s="345" t="s">
        <v>213</v>
      </c>
      <c r="H21" s="605" t="s">
        <v>216</v>
      </c>
      <c r="I21" s="606"/>
      <c r="J21" s="370" t="s">
        <v>128</v>
      </c>
      <c r="O21" s="346" t="s">
        <v>454</v>
      </c>
      <c r="P21" s="436" t="s">
        <v>455</v>
      </c>
      <c r="Q21" s="436" t="s">
        <v>477</v>
      </c>
      <c r="R21" s="502"/>
    </row>
    <row r="22" spans="1:26" s="363" customFormat="1" ht="25.5" customHeight="1" x14ac:dyDescent="0.25">
      <c r="B22" s="592" t="str">
        <f>+Sewer!A1</f>
        <v>Developer contributions towards the cost of sewer headworks</v>
      </c>
      <c r="C22" s="593"/>
      <c r="D22" s="593"/>
      <c r="E22" s="594"/>
      <c r="F22" s="371"/>
      <c r="G22" s="371"/>
      <c r="H22" s="353"/>
      <c r="I22" s="372"/>
      <c r="J22" s="373"/>
      <c r="O22" s="371"/>
      <c r="P22" s="371"/>
      <c r="Q22" s="371"/>
    </row>
    <row r="23" spans="1:26" s="363" customFormat="1" ht="15" customHeight="1" x14ac:dyDescent="0.25">
      <c r="A23" s="368"/>
      <c r="B23" s="374"/>
      <c r="C23" s="375" t="str">
        <f>+Sewer!B50</f>
        <v>Trunk sewers &amp; pump systems (Hs)</v>
      </c>
      <c r="D23" s="376"/>
      <c r="E23" s="377"/>
      <c r="F23" s="556">
        <f>+ROUND($H$14*'June 2009 Summary'!F22,0)</f>
        <v>0</v>
      </c>
      <c r="G23" s="556">
        <f>+O23+Q23</f>
        <v>0</v>
      </c>
      <c r="H23" s="565">
        <f>+ROUND(P23-Q23,0)</f>
        <v>0</v>
      </c>
      <c r="I23" s="380">
        <f>+$D$14</f>
        <v>45627</v>
      </c>
      <c r="J23" s="212" t="str">
        <f>+'June 2009 Summary'!J22</f>
        <v>CON65</v>
      </c>
      <c r="O23" s="378">
        <f>+$H$14*'Waiver 4'!K17</f>
        <v>0</v>
      </c>
      <c r="P23" s="379">
        <f>+F23-O23</f>
        <v>0</v>
      </c>
      <c r="Q23" s="379">
        <f>+IF($P$23+$P$24=0,0,P23/($P$23+$P$24)*'Waiver 6'!$E$137)</f>
        <v>0</v>
      </c>
    </row>
    <row r="24" spans="1:26" s="363" customFormat="1" ht="15" customHeight="1" x14ac:dyDescent="0.25">
      <c r="A24" s="368"/>
      <c r="B24" s="360"/>
      <c r="C24" s="361" t="str">
        <f>+Sewer!B52</f>
        <v>Treatment plants &amp; outfalls (Ht)</v>
      </c>
      <c r="D24" s="376"/>
      <c r="E24" s="362"/>
      <c r="F24" s="557">
        <f>+ROUND($H$14*'June 2009 Summary'!F23,0)</f>
        <v>0</v>
      </c>
      <c r="G24" s="557">
        <f t="shared" ref="G24:G38" si="0">+O24+Q24</f>
        <v>0</v>
      </c>
      <c r="H24" s="565">
        <f>+ROUND(P24-Q24,0)</f>
        <v>0</v>
      </c>
      <c r="I24" s="383">
        <f t="shared" ref="I24:I38" si="1">+$D$14</f>
        <v>45627</v>
      </c>
      <c r="J24" s="384" t="str">
        <f>+'June 2009 Summary'!J23</f>
        <v>CON70</v>
      </c>
      <c r="O24" s="381">
        <f>+$H$14*'Waiver 4'!L17</f>
        <v>0</v>
      </c>
      <c r="P24" s="382">
        <f>+F24-O24</f>
        <v>0</v>
      </c>
      <c r="Q24" s="382">
        <f>+IF($P$23+$P$24=0,0,P24/($P$23+$P$24)*'Waiver 6'!$E$137)</f>
        <v>0</v>
      </c>
    </row>
    <row r="25" spans="1:26" s="363" customFormat="1" ht="24" customHeight="1" x14ac:dyDescent="0.25">
      <c r="A25" s="368"/>
      <c r="B25" s="592" t="str">
        <f>+Water!A1</f>
        <v>Developer contributions towards the cost of water supply headworks</v>
      </c>
      <c r="C25" s="593"/>
      <c r="D25" s="593"/>
      <c r="E25" s="594"/>
      <c r="F25" s="558"/>
      <c r="G25" s="558"/>
      <c r="H25" s="566"/>
      <c r="I25" s="372"/>
      <c r="J25" s="387"/>
      <c r="O25" s="385"/>
      <c r="P25" s="386"/>
      <c r="Q25" s="386"/>
    </row>
    <row r="26" spans="1:26" ht="15" customHeight="1" x14ac:dyDescent="0.25">
      <c r="B26" s="388"/>
      <c r="C26" s="389" t="str">
        <f>+Water!B51</f>
        <v>Source works ($Hs)</v>
      </c>
      <c r="D26" s="389"/>
      <c r="E26" s="390"/>
      <c r="F26" s="556">
        <f>+ROUND($H$14*'June 2009 Summary'!F25,0)</f>
        <v>0</v>
      </c>
      <c r="G26" s="556">
        <f t="shared" si="0"/>
        <v>0</v>
      </c>
      <c r="H26" s="565">
        <f t="shared" ref="H26:H32" si="2">+ROUND(P26-Q26,0)</f>
        <v>0</v>
      </c>
      <c r="I26" s="391">
        <f t="shared" si="1"/>
        <v>45627</v>
      </c>
      <c r="J26" s="212" t="str">
        <f>+'June 2009 Summary'!J25</f>
        <v>CON90</v>
      </c>
      <c r="O26" s="378">
        <f>+$H$14*'Waiver 4'!N37</f>
        <v>0</v>
      </c>
      <c r="P26" s="379">
        <f>+F26-O26</f>
        <v>0</v>
      </c>
      <c r="Q26" s="379">
        <f>+IF($P$26+$P$27+$P$28+$P$29=0,0,P26/($P$26+$P$27+$P$28+$P$29)*'Waiver 6'!$E$136)</f>
        <v>0</v>
      </c>
      <c r="S26" s="363"/>
      <c r="T26" s="363"/>
      <c r="U26" s="363"/>
      <c r="V26" s="363"/>
      <c r="W26" s="363"/>
      <c r="X26" s="363"/>
      <c r="Z26" s="168"/>
    </row>
    <row r="27" spans="1:26" ht="15" customHeight="1" x14ac:dyDescent="0.25">
      <c r="B27" s="388"/>
      <c r="C27" s="389" t="str">
        <f>+Water!B52</f>
        <v>Reservoirs ($Hr)</v>
      </c>
      <c r="D27" s="389"/>
      <c r="E27" s="390"/>
      <c r="F27" s="556">
        <f>+ROUND($H$14*'June 2009 Summary'!F26,0)</f>
        <v>0</v>
      </c>
      <c r="G27" s="556">
        <f t="shared" si="0"/>
        <v>0</v>
      </c>
      <c r="H27" s="565">
        <f t="shared" si="2"/>
        <v>0</v>
      </c>
      <c r="I27" s="391">
        <f t="shared" si="1"/>
        <v>45627</v>
      </c>
      <c r="J27" s="212" t="str">
        <f>+'June 2009 Summary'!J26</f>
        <v>CON95</v>
      </c>
      <c r="O27" s="378">
        <f>+$H$14*'Waiver 4'!O37</f>
        <v>0</v>
      </c>
      <c r="P27" s="379">
        <f>+F27-O27</f>
        <v>0</v>
      </c>
      <c r="Q27" s="379">
        <f>+IF($P$26+$P$27+$P$28+$P$29=0,0,P27/($P$26+$P$27+$P$28+$P$29)*'Waiver 6'!$E$136)</f>
        <v>0</v>
      </c>
      <c r="S27" s="363"/>
      <c r="T27" s="363"/>
      <c r="U27" s="363"/>
      <c r="V27" s="363"/>
      <c r="W27" s="363"/>
      <c r="X27" s="363"/>
      <c r="Z27" s="168"/>
    </row>
    <row r="28" spans="1:26" ht="15" customHeight="1" x14ac:dyDescent="0.25">
      <c r="B28" s="388"/>
      <c r="C28" s="389" t="str">
        <f>+Water!B53</f>
        <v>Delivery mains ($Hd)</v>
      </c>
      <c r="D28" s="389"/>
      <c r="E28" s="390"/>
      <c r="F28" s="556">
        <f>+ROUND($H$14*'June 2009 Summary'!F27,0)</f>
        <v>0</v>
      </c>
      <c r="G28" s="556">
        <f t="shared" si="0"/>
        <v>0</v>
      </c>
      <c r="H28" s="565">
        <f t="shared" si="2"/>
        <v>0</v>
      </c>
      <c r="I28" s="391">
        <f t="shared" si="1"/>
        <v>45627</v>
      </c>
      <c r="J28" s="212" t="str">
        <f>+'June 2009 Summary'!J27</f>
        <v>CON100</v>
      </c>
      <c r="O28" s="378">
        <f>+$H$14*'Waiver 4'!P37</f>
        <v>0</v>
      </c>
      <c r="P28" s="379">
        <f>+F28-O28</f>
        <v>0</v>
      </c>
      <c r="Q28" s="379">
        <f>+IF($P$26+$P$27+$P$28+$P$29=0,0,P28/($P$26+$P$27+$P$28+$P$29)*'Waiver 6'!$E$136)</f>
        <v>0</v>
      </c>
      <c r="S28" s="363"/>
      <c r="T28" s="363"/>
      <c r="U28" s="363"/>
      <c r="V28" s="363"/>
      <c r="W28" s="363"/>
      <c r="X28" s="363"/>
      <c r="Z28" s="168"/>
    </row>
    <row r="29" spans="1:26" ht="15" customHeight="1" x14ac:dyDescent="0.25">
      <c r="B29" s="393"/>
      <c r="C29" s="394" t="str">
        <f>+Water!B54</f>
        <v>Distribution mains ($Hm)</v>
      </c>
      <c r="D29" s="389"/>
      <c r="E29" s="395"/>
      <c r="F29" s="556">
        <f>+ROUND($H$14*'June 2009 Summary'!F28,0)</f>
        <v>0</v>
      </c>
      <c r="G29" s="556">
        <f t="shared" si="0"/>
        <v>0</v>
      </c>
      <c r="H29" s="565">
        <f t="shared" si="2"/>
        <v>0</v>
      </c>
      <c r="I29" s="396">
        <f t="shared" si="1"/>
        <v>45627</v>
      </c>
      <c r="J29" s="217" t="str">
        <f>+'June 2009 Summary'!J28</f>
        <v>CON100</v>
      </c>
      <c r="O29" s="378">
        <f>+$H$14*'Waiver 4'!Q37</f>
        <v>0</v>
      </c>
      <c r="P29" s="379">
        <f>+F29-O29</f>
        <v>0</v>
      </c>
      <c r="Q29" s="379">
        <f>+IF($P$26+$P$27+$P$28+$P$29=0,0,P29/($P$26+$P$27+$P$28+$P$29)*'Waiver 6'!$E$136)</f>
        <v>0</v>
      </c>
      <c r="S29" s="507"/>
      <c r="T29" s="363"/>
      <c r="U29" s="363"/>
      <c r="V29" s="363"/>
      <c r="W29" s="363"/>
      <c r="X29" s="363"/>
    </row>
    <row r="30" spans="1:26" ht="15" customHeight="1" x14ac:dyDescent="0.25">
      <c r="B30" s="598" t="str">
        <f>+'Open Space'!A1</f>
        <v>Public Garden and Recreation Space</v>
      </c>
      <c r="C30" s="599"/>
      <c r="D30" s="599"/>
      <c r="E30" s="600"/>
      <c r="F30" s="559">
        <f>ROUND($H$14*'June 2009 Summary'!F29,0)</f>
        <v>0</v>
      </c>
      <c r="G30" s="560">
        <f t="shared" si="0"/>
        <v>0</v>
      </c>
      <c r="H30" s="567">
        <f t="shared" si="2"/>
        <v>0</v>
      </c>
      <c r="I30" s="399">
        <f t="shared" si="1"/>
        <v>45627</v>
      </c>
      <c r="J30" s="400" t="str">
        <f>+'June 2009 Summary'!J29</f>
        <v>P0100</v>
      </c>
      <c r="O30" s="397">
        <v>0</v>
      </c>
      <c r="P30" s="398">
        <f>+F30</f>
        <v>0</v>
      </c>
      <c r="Q30" s="398">
        <f>+IF(P30=0,0,'Waiver 6'!E139)</f>
        <v>0</v>
      </c>
      <c r="S30" s="301"/>
      <c r="T30" s="401"/>
    </row>
    <row r="31" spans="1:26" ht="25.5" customHeight="1" x14ac:dyDescent="0.25">
      <c r="B31" s="598" t="str">
        <f>+'Car Parking'!A1</f>
        <v>Contributions towards the cost of the provision of off-street car parking spaces</v>
      </c>
      <c r="C31" s="599"/>
      <c r="D31" s="599"/>
      <c r="E31" s="600"/>
      <c r="F31" s="560">
        <f>+ROUND($H$14*'June 2009 Summary'!F30,0)</f>
        <v>0</v>
      </c>
      <c r="G31" s="560">
        <f t="shared" si="0"/>
        <v>0</v>
      </c>
      <c r="H31" s="567">
        <f t="shared" si="2"/>
        <v>0</v>
      </c>
      <c r="I31" s="399">
        <f t="shared" si="1"/>
        <v>45627</v>
      </c>
      <c r="J31" s="400" t="str">
        <f>+'June 2009 Summary'!J30</f>
        <v>CON40</v>
      </c>
      <c r="O31" s="397">
        <v>0</v>
      </c>
      <c r="P31" s="398">
        <f>+F31</f>
        <v>0</v>
      </c>
      <c r="Q31" s="398">
        <v>0</v>
      </c>
    </row>
    <row r="32" spans="1:26" ht="25.5" customHeight="1" x14ac:dyDescent="0.25">
      <c r="B32" s="592" t="str">
        <f>+'Peds &amp; Bikes'!A1</f>
        <v>Planning Scheme Policy for infrastructure contributions - stormwater and transport infrastructure (Pedestrians and Bikeways)</v>
      </c>
      <c r="C32" s="593"/>
      <c r="D32" s="593"/>
      <c r="E32" s="594"/>
      <c r="F32" s="560">
        <f>+ROUND($H$14*'June 2009 Summary'!F31,0)</f>
        <v>0</v>
      </c>
      <c r="G32" s="560">
        <f t="shared" si="0"/>
        <v>0</v>
      </c>
      <c r="H32" s="567">
        <f t="shared" si="2"/>
        <v>0</v>
      </c>
      <c r="I32" s="402">
        <f t="shared" si="1"/>
        <v>45627</v>
      </c>
      <c r="J32" s="400" t="str">
        <f>+'June 2009 Summary'!J31</f>
        <v>CON60</v>
      </c>
      <c r="O32" s="397">
        <v>0</v>
      </c>
      <c r="P32" s="398">
        <f>+F32</f>
        <v>0</v>
      </c>
      <c r="Q32" s="398">
        <f>+IF($P$32+$P$34+$P$35=0,0,(P32/($P$32+$P$34+$P$35)*('Waiver 6'!$E$138)))</f>
        <v>0</v>
      </c>
      <c r="S32" s="506"/>
    </row>
    <row r="33" spans="1:22" ht="25.5" customHeight="1" x14ac:dyDescent="0.25">
      <c r="B33" s="592" t="str">
        <f>+Roads!$A$1</f>
        <v>Planning Scheme Policy for infrastructure contributions - stormwater and transport infrastructure (Roads)</v>
      </c>
      <c r="C33" s="593"/>
      <c r="D33" s="593"/>
      <c r="E33" s="593"/>
      <c r="F33" s="561"/>
      <c r="G33" s="561"/>
      <c r="H33" s="568"/>
      <c r="I33" s="365"/>
      <c r="J33" s="207"/>
      <c r="O33" s="403"/>
      <c r="P33" s="403"/>
      <c r="Q33" s="403"/>
    </row>
    <row r="34" spans="1:22" ht="15" customHeight="1" x14ac:dyDescent="0.25">
      <c r="B34" s="404"/>
      <c r="C34" s="405" t="str">
        <f>+Roads!E28</f>
        <v>TCC Works</v>
      </c>
      <c r="D34" s="406"/>
      <c r="E34" s="406"/>
      <c r="F34" s="562">
        <f>+ROUND($H$14*'June 2009 Summary'!F33,0)</f>
        <v>0</v>
      </c>
      <c r="G34" s="562">
        <f t="shared" si="0"/>
        <v>0</v>
      </c>
      <c r="H34" s="565">
        <f>+ROUND(P34-Q34,0)</f>
        <v>0</v>
      </c>
      <c r="I34" s="391">
        <f t="shared" si="1"/>
        <v>45627</v>
      </c>
      <c r="J34" s="391" t="str">
        <f>+'June 2009 Summary'!J33</f>
        <v/>
      </c>
      <c r="O34" s="379">
        <f>+$H$14*'June 2009 Summary'!G33</f>
        <v>0</v>
      </c>
      <c r="P34" s="379">
        <f>+F34-O34</f>
        <v>0</v>
      </c>
      <c r="Q34" s="379">
        <f>IF($P$32+$P$34+$P$35=0,0,P34/($P$32+$P$34+$P$35)*'Waiver 6'!E138)</f>
        <v>0</v>
      </c>
    </row>
    <row r="35" spans="1:22" ht="15" customHeight="1" x14ac:dyDescent="0.25">
      <c r="B35" s="404"/>
      <c r="C35" s="389" t="str">
        <f>+Roads!E29</f>
        <v>TCC Land</v>
      </c>
      <c r="D35" s="406"/>
      <c r="E35" s="406"/>
      <c r="F35" s="562">
        <f>+ROUND($D$16/'June 2009 Summary'!$D$15*'June 2009 Summary'!F34,0)</f>
        <v>0</v>
      </c>
      <c r="G35" s="562">
        <f t="shared" si="0"/>
        <v>0</v>
      </c>
      <c r="H35" s="565">
        <f>+ROUND(P35-Q35,0)</f>
        <v>0</v>
      </c>
      <c r="I35" s="391">
        <f t="shared" si="1"/>
        <v>45627</v>
      </c>
      <c r="J35" s="391" t="str">
        <f>+'June 2009 Summary'!J34</f>
        <v/>
      </c>
      <c r="O35" s="379">
        <f>+$D$16/'June 2009 Summary'!$D$15*'June 2009 Summary'!G34</f>
        <v>0</v>
      </c>
      <c r="P35" s="379">
        <f>+F35-O35</f>
        <v>0</v>
      </c>
      <c r="Q35" s="379">
        <f>+IF($P$32+$P$34+$P$35=0,0,P35/($P$32+$P$34+$P$35)*'Waiver 6'!E138)</f>
        <v>0</v>
      </c>
    </row>
    <row r="36" spans="1:22" ht="15" customHeight="1" x14ac:dyDescent="0.25">
      <c r="B36" s="388"/>
      <c r="C36" s="389" t="str">
        <f>+Roads!E30</f>
        <v>SCR Works</v>
      </c>
      <c r="D36" s="389"/>
      <c r="E36" s="389"/>
      <c r="F36" s="562">
        <f>+ROUND($H$14*'June 2009 Summary'!F35,0)</f>
        <v>0</v>
      </c>
      <c r="G36" s="562">
        <f t="shared" si="0"/>
        <v>0</v>
      </c>
      <c r="H36" s="565">
        <f>+ROUND(P36-Q36,0)</f>
        <v>0</v>
      </c>
      <c r="I36" s="391">
        <f t="shared" si="1"/>
        <v>45627</v>
      </c>
      <c r="J36" s="391" t="str">
        <f>+'June 2009 Summary'!J35</f>
        <v/>
      </c>
      <c r="N36" s="364"/>
      <c r="O36" s="379">
        <f>+$H$14*'June 2009 Summary'!G35</f>
        <v>0</v>
      </c>
      <c r="P36" s="379">
        <f>+F36-O36</f>
        <v>0</v>
      </c>
      <c r="Q36" s="379">
        <f>+IF('Waiver 6'!$C$133="OK",Summary!P36,0)</f>
        <v>0</v>
      </c>
      <c r="T36" s="392"/>
    </row>
    <row r="37" spans="1:22" ht="15" customHeight="1" x14ac:dyDescent="0.25">
      <c r="B37" s="393"/>
      <c r="C37" s="394" t="str">
        <f>+Roads!E31</f>
        <v>SCR Land</v>
      </c>
      <c r="D37" s="394"/>
      <c r="E37" s="394"/>
      <c r="F37" s="563">
        <f>+ROUND($D$16/'June 2009 Summary'!$D$15*'June 2009 Summary'!F36,0)</f>
        <v>0</v>
      </c>
      <c r="G37" s="563">
        <f t="shared" si="0"/>
        <v>0</v>
      </c>
      <c r="H37" s="569">
        <f>+ROUND(P37-Q37,0)</f>
        <v>0</v>
      </c>
      <c r="I37" s="396">
        <f t="shared" si="1"/>
        <v>45627</v>
      </c>
      <c r="J37" s="396" t="str">
        <f>+'June 2009 Summary'!J36</f>
        <v/>
      </c>
      <c r="N37" s="364"/>
      <c r="O37" s="408">
        <f>+$D$16/'June 2009 Summary'!$D$15*'June 2009 Summary'!G36</f>
        <v>0</v>
      </c>
      <c r="P37" s="408">
        <f>+F37-O37</f>
        <v>0</v>
      </c>
      <c r="Q37" s="408">
        <f>+IF('Waiver 6'!$C$133="OK",Summary!P37,0)</f>
        <v>0</v>
      </c>
      <c r="S37" s="301"/>
      <c r="T37" s="392"/>
    </row>
    <row r="38" spans="1:22" ht="27.75" customHeight="1" x14ac:dyDescent="0.25">
      <c r="B38" s="590" t="str">
        <f>+'Storm Water'!A1</f>
        <v>Planning Scheme Policy for infrastructure contributions - stormwater and transport infrastructure (Stormwater)</v>
      </c>
      <c r="C38" s="591"/>
      <c r="D38" s="591"/>
      <c r="E38" s="591"/>
      <c r="F38" s="563">
        <f>+ROUND($H$14*'June 2009 Summary'!F38,)</f>
        <v>0</v>
      </c>
      <c r="G38" s="563">
        <f t="shared" si="0"/>
        <v>0</v>
      </c>
      <c r="H38" s="569">
        <f>+ROUND(P38-Q38,0)</f>
        <v>0</v>
      </c>
      <c r="I38" s="396">
        <f t="shared" si="1"/>
        <v>45627</v>
      </c>
      <c r="J38" s="217" t="str">
        <f>+'June 2009 Summary'!J38</f>
        <v>CON25</v>
      </c>
      <c r="N38" s="364"/>
      <c r="O38" s="408">
        <v>0</v>
      </c>
      <c r="P38" s="408">
        <f>+F38</f>
        <v>0</v>
      </c>
      <c r="Q38" s="408">
        <f>+IF(P38=0,0,'Waiver 6'!E140)</f>
        <v>0</v>
      </c>
      <c r="S38" s="301"/>
      <c r="T38" s="392"/>
      <c r="V38" s="168"/>
    </row>
    <row r="39" spans="1:22" ht="15" customHeight="1" x14ac:dyDescent="0.25">
      <c r="B39" s="409" t="s">
        <v>211</v>
      </c>
      <c r="C39" s="357"/>
      <c r="D39" s="357"/>
      <c r="E39" s="358"/>
      <c r="F39" s="564">
        <f>ROUND(SUM(F22:F38),0)</f>
        <v>0</v>
      </c>
      <c r="G39" s="564">
        <f>SUM(G22:G38)</f>
        <v>0</v>
      </c>
      <c r="H39" s="570">
        <f>ROUND(SUM(H22:H38),0)</f>
        <v>0</v>
      </c>
      <c r="I39" s="412"/>
      <c r="J39" s="400"/>
      <c r="N39" s="413"/>
      <c r="O39" s="410">
        <f>SUM(O22:O38)</f>
        <v>0</v>
      </c>
      <c r="P39" s="411">
        <f>SUM(P22:P38)</f>
        <v>0</v>
      </c>
      <c r="Q39" s="411">
        <f>SUM(Q22:Q38)</f>
        <v>0</v>
      </c>
      <c r="T39" s="392"/>
      <c r="V39" s="168"/>
    </row>
    <row r="40" spans="1:22" x14ac:dyDescent="0.25">
      <c r="M40" s="414"/>
      <c r="N40" s="414"/>
      <c r="O40" s="414"/>
      <c r="P40" s="414"/>
      <c r="Q40" s="414"/>
      <c r="T40" s="392"/>
    </row>
    <row r="41" spans="1:22" x14ac:dyDescent="0.25">
      <c r="B41" s="415"/>
      <c r="H41" s="503"/>
      <c r="T41" s="416"/>
    </row>
    <row r="42" spans="1:22" x14ac:dyDescent="0.25">
      <c r="B42" s="180"/>
      <c r="H42" s="503"/>
      <c r="I42" s="503"/>
    </row>
    <row r="43" spans="1:22" ht="72" customHeight="1" x14ac:dyDescent="0.25">
      <c r="A43" s="417"/>
      <c r="B43" s="601"/>
      <c r="C43" s="602"/>
      <c r="D43" s="602"/>
      <c r="E43" s="602"/>
      <c r="F43" s="602"/>
      <c r="G43" s="602"/>
      <c r="H43" s="602"/>
      <c r="I43" s="602"/>
      <c r="J43" s="602"/>
    </row>
    <row r="44" spans="1:22" ht="75.75" customHeight="1" x14ac:dyDescent="0.25">
      <c r="A44" s="417"/>
      <c r="B44" s="601"/>
      <c r="C44" s="602"/>
      <c r="D44" s="602"/>
      <c r="E44" s="602"/>
      <c r="F44" s="602"/>
      <c r="G44" s="602"/>
      <c r="H44" s="602"/>
      <c r="I44" s="602"/>
      <c r="J44" s="602"/>
    </row>
    <row r="45" spans="1:22" ht="60.75" customHeight="1" x14ac:dyDescent="0.25">
      <c r="A45" s="417"/>
      <c r="B45" s="601"/>
      <c r="C45" s="602"/>
      <c r="D45" s="602"/>
      <c r="E45" s="602"/>
      <c r="F45" s="602"/>
      <c r="G45" s="602"/>
      <c r="H45" s="602"/>
      <c r="I45" s="602"/>
      <c r="J45" s="602"/>
    </row>
  </sheetData>
  <sheetProtection algorithmName="SHA-512" hashValue="lTF3Bwsvbl9yCDZWzgqeMLB2tZ+MW2TNpjV6S06L489ow8A1GgX6cwdUKSJU94vabpid1ZS83hBaqjLQSw5xaQ==" saltValue="VI3msAaoNfGJNovK8KlxFQ==" spinCount="100000" sheet="1" objects="1" scenarios="1"/>
  <mergeCells count="25">
    <mergeCell ref="E4:J4"/>
    <mergeCell ref="B4:D4"/>
    <mergeCell ref="E9:J9"/>
    <mergeCell ref="E10:J10"/>
    <mergeCell ref="E5:J5"/>
    <mergeCell ref="E6:J6"/>
    <mergeCell ref="E8:J8"/>
    <mergeCell ref="E7:J7"/>
    <mergeCell ref="B45:J45"/>
    <mergeCell ref="B16:C16"/>
    <mergeCell ref="B44:J44"/>
    <mergeCell ref="H21:I21"/>
    <mergeCell ref="B43:J43"/>
    <mergeCell ref="B13:C13"/>
    <mergeCell ref="B14:C14"/>
    <mergeCell ref="B17:C17"/>
    <mergeCell ref="B38:E38"/>
    <mergeCell ref="B22:E22"/>
    <mergeCell ref="B25:E25"/>
    <mergeCell ref="B21:E21"/>
    <mergeCell ref="B32:E32"/>
    <mergeCell ref="B33:E33"/>
    <mergeCell ref="B30:E30"/>
    <mergeCell ref="B31:E31"/>
    <mergeCell ref="B15:C15"/>
  </mergeCells>
  <phoneticPr fontId="4" type="noConversion"/>
  <conditionalFormatting sqref="F22:H38 O22:Q38">
    <cfRule type="cellIs" dxfId="1" priority="1" stopIfTrue="1" operator="lessThan">
      <formula>0</formula>
    </cfRule>
  </conditionalFormatting>
  <pageMargins left="0.75" right="0.75" top="1" bottom="1" header="0.5" footer="0.5"/>
  <pageSetup paperSize="9" scale="78"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46"/>
  <sheetViews>
    <sheetView zoomScale="75" workbookViewId="0">
      <selection activeCell="E5" sqref="E5:J5"/>
    </sheetView>
  </sheetViews>
  <sheetFormatPr defaultColWidth="9.109375" defaultRowHeight="13.8" x14ac:dyDescent="0.25"/>
  <cols>
    <col min="1" max="1" width="3.44140625" style="139" customWidth="1"/>
    <col min="2" max="3" width="9.33203125" style="139" customWidth="1"/>
    <col min="4" max="4" width="10.5546875" style="139" customWidth="1"/>
    <col min="5" max="5" width="16" style="139" customWidth="1"/>
    <col min="6" max="6" width="18.88671875" style="139" customWidth="1"/>
    <col min="7" max="8" width="17.88671875" style="139" customWidth="1"/>
    <col min="9" max="10" width="16" style="139" customWidth="1"/>
    <col min="11" max="11" width="5.109375" style="139" customWidth="1"/>
    <col min="12" max="12" width="10.44140625" style="139" customWidth="1"/>
    <col min="13" max="16" width="16" style="139" customWidth="1"/>
    <col min="17" max="17" width="16.33203125" style="139" customWidth="1"/>
    <col min="18" max="18" width="11.33203125" style="139" customWidth="1"/>
    <col min="19" max="19" width="16.44140625" style="139" customWidth="1"/>
    <col min="20" max="20" width="11.33203125" style="139" customWidth="1"/>
    <col min="21" max="21" width="7" style="139" customWidth="1"/>
    <col min="22" max="22" width="8.109375" style="139" customWidth="1"/>
    <col min="23" max="23" width="5.88671875" style="139" customWidth="1"/>
    <col min="24" max="24" width="6.33203125" style="139" customWidth="1"/>
    <col min="25" max="16384" width="9.109375" style="139"/>
  </cols>
  <sheetData>
    <row r="1" spans="1:12" ht="15.6" x14ac:dyDescent="0.3">
      <c r="A1" s="279" t="s">
        <v>134</v>
      </c>
    </row>
    <row r="3" spans="1:12" x14ac:dyDescent="0.25">
      <c r="A3" s="139">
        <v>1</v>
      </c>
      <c r="B3" s="140" t="s">
        <v>788</v>
      </c>
      <c r="C3" s="140"/>
    </row>
    <row r="4" spans="1:12" ht="24.75" customHeight="1" x14ac:dyDescent="0.25">
      <c r="B4" s="616" t="s">
        <v>580</v>
      </c>
      <c r="C4" s="617"/>
      <c r="D4" s="618"/>
      <c r="E4" s="616" t="s">
        <v>788</v>
      </c>
      <c r="F4" s="617"/>
      <c r="G4" s="617"/>
      <c r="H4" s="617"/>
      <c r="I4" s="617"/>
      <c r="J4" s="618"/>
    </row>
    <row r="5" spans="1:12" ht="20.25" customHeight="1" x14ac:dyDescent="0.25">
      <c r="B5" s="30" t="s">
        <v>792</v>
      </c>
      <c r="C5" s="59"/>
      <c r="D5" s="31"/>
      <c r="E5" s="619"/>
      <c r="F5" s="620"/>
      <c r="G5" s="620"/>
      <c r="H5" s="620"/>
      <c r="I5" s="620"/>
      <c r="J5" s="621"/>
    </row>
    <row r="6" spans="1:12" ht="20.25" customHeight="1" x14ac:dyDescent="0.25">
      <c r="B6" s="32" t="s">
        <v>791</v>
      </c>
      <c r="C6" s="60"/>
      <c r="D6" s="33"/>
      <c r="E6" s="619"/>
      <c r="F6" s="620"/>
      <c r="G6" s="620"/>
      <c r="H6" s="620"/>
      <c r="I6" s="620"/>
      <c r="J6" s="621"/>
      <c r="K6" s="141"/>
    </row>
    <row r="7" spans="1:12" ht="20.25" customHeight="1" x14ac:dyDescent="0.25">
      <c r="B7" s="32" t="s">
        <v>789</v>
      </c>
      <c r="C7" s="60"/>
      <c r="D7" s="33"/>
      <c r="E7" s="619"/>
      <c r="F7" s="620"/>
      <c r="G7" s="620"/>
      <c r="H7" s="620"/>
      <c r="I7" s="620"/>
      <c r="J7" s="621"/>
      <c r="K7" s="141"/>
    </row>
    <row r="8" spans="1:12" ht="20.25" customHeight="1" x14ac:dyDescent="0.25">
      <c r="B8" s="34" t="s">
        <v>790</v>
      </c>
      <c r="C8" s="44"/>
      <c r="D8" s="35"/>
      <c r="E8" s="619"/>
      <c r="F8" s="620"/>
      <c r="G8" s="620"/>
      <c r="H8" s="620"/>
      <c r="I8" s="620"/>
      <c r="J8" s="621"/>
    </row>
    <row r="9" spans="1:12" ht="20.25" customHeight="1" x14ac:dyDescent="0.25">
      <c r="B9" s="34" t="s">
        <v>794</v>
      </c>
      <c r="C9" s="44"/>
      <c r="D9" s="35"/>
      <c r="E9" s="619"/>
      <c r="F9" s="620"/>
      <c r="G9" s="620"/>
      <c r="H9" s="620"/>
      <c r="I9" s="620"/>
      <c r="J9" s="621"/>
      <c r="K9" s="142"/>
    </row>
    <row r="10" spans="1:12" ht="20.25" customHeight="1" x14ac:dyDescent="0.25">
      <c r="B10" s="34" t="s">
        <v>793</v>
      </c>
      <c r="C10" s="44"/>
      <c r="D10" s="35"/>
      <c r="E10" s="619"/>
      <c r="F10" s="620"/>
      <c r="G10" s="620"/>
      <c r="H10" s="620"/>
      <c r="I10" s="620"/>
      <c r="J10" s="621"/>
      <c r="K10" s="142"/>
      <c r="L10" s="143"/>
    </row>
    <row r="11" spans="1:12" ht="12" customHeight="1" x14ac:dyDescent="0.25"/>
    <row r="12" spans="1:12" x14ac:dyDescent="0.25">
      <c r="A12" s="139">
        <v>2</v>
      </c>
      <c r="B12" s="140" t="s">
        <v>796</v>
      </c>
    </row>
    <row r="13" spans="1:12" ht="18" customHeight="1" x14ac:dyDescent="0.25">
      <c r="B13" s="626" t="s">
        <v>580</v>
      </c>
      <c r="C13" s="627"/>
      <c r="D13" s="61" t="s">
        <v>803</v>
      </c>
    </row>
    <row r="14" spans="1:12" ht="15" customHeight="1" x14ac:dyDescent="0.25">
      <c r="B14" s="628" t="s">
        <v>802</v>
      </c>
      <c r="C14" s="629"/>
      <c r="D14" s="342" t="s">
        <v>135</v>
      </c>
    </row>
    <row r="15" spans="1:12" ht="15" customHeight="1" x14ac:dyDescent="0.25">
      <c r="B15" s="603" t="s">
        <v>597</v>
      </c>
      <c r="C15" s="604"/>
      <c r="D15" s="343">
        <v>92.9</v>
      </c>
    </row>
    <row r="16" spans="1:12" ht="15" customHeight="1" x14ac:dyDescent="0.25">
      <c r="B16" s="630" t="s">
        <v>797</v>
      </c>
      <c r="C16" s="631"/>
      <c r="D16" s="344">
        <v>95.2</v>
      </c>
    </row>
    <row r="17" spans="1:26" ht="15" customHeight="1" x14ac:dyDescent="0.25">
      <c r="B17" s="144" t="s">
        <v>817</v>
      </c>
    </row>
    <row r="18" spans="1:26" ht="15" customHeight="1" x14ac:dyDescent="0.25">
      <c r="B18" s="144"/>
    </row>
    <row r="19" spans="1:26" s="142" customFormat="1" ht="17.25" customHeight="1" x14ac:dyDescent="0.25">
      <c r="A19" s="142">
        <v>3</v>
      </c>
      <c r="B19" s="145" t="s">
        <v>795</v>
      </c>
      <c r="C19" s="145"/>
      <c r="D19" s="146"/>
      <c r="E19" s="146"/>
      <c r="F19" s="147"/>
      <c r="G19" s="147"/>
      <c r="H19" s="147"/>
      <c r="I19" s="146"/>
      <c r="J19" s="147"/>
      <c r="L19" s="143"/>
    </row>
    <row r="20" spans="1:26" s="142" customFormat="1" ht="34.5" customHeight="1" x14ac:dyDescent="0.25">
      <c r="B20" s="635" t="s">
        <v>795</v>
      </c>
      <c r="C20" s="636"/>
      <c r="D20" s="636"/>
      <c r="E20" s="637"/>
      <c r="F20" s="281" t="s">
        <v>214</v>
      </c>
      <c r="G20" s="305" t="s">
        <v>213</v>
      </c>
      <c r="H20" s="624" t="s">
        <v>216</v>
      </c>
      <c r="I20" s="625"/>
      <c r="J20" s="115" t="s">
        <v>128</v>
      </c>
      <c r="L20" s="143"/>
      <c r="T20" s="148"/>
    </row>
    <row r="21" spans="1:26" s="142" customFormat="1" ht="36.75" customHeight="1" x14ac:dyDescent="0.25">
      <c r="B21" s="632" t="str">
        <f>+Sewer!A1</f>
        <v>Developer contributions towards the cost of sewer headworks</v>
      </c>
      <c r="C21" s="633"/>
      <c r="D21" s="633"/>
      <c r="E21" s="634"/>
      <c r="F21" s="36"/>
      <c r="G21" s="306"/>
      <c r="H21" s="306"/>
      <c r="I21" s="37"/>
      <c r="J21" s="56"/>
      <c r="K21" s="148"/>
      <c r="L21" s="143"/>
      <c r="T21" s="148"/>
    </row>
    <row r="22" spans="1:26" s="142" customFormat="1" ht="15.75" customHeight="1" x14ac:dyDescent="0.25">
      <c r="A22" s="146"/>
      <c r="B22" s="42"/>
      <c r="C22" s="43" t="str">
        <f>+Sewer!B50</f>
        <v>Trunk sewers &amp; pump systems (Hs)</v>
      </c>
      <c r="D22" s="55"/>
      <c r="E22" s="49"/>
      <c r="F22" s="120">
        <f>+Sewer!G50</f>
        <v>0</v>
      </c>
      <c r="G22" s="315" t="s">
        <v>215</v>
      </c>
      <c r="H22" s="307">
        <f>+F22</f>
        <v>0</v>
      </c>
      <c r="I22" s="38" t="str">
        <f>+Sewer!G49</f>
        <v>Jun '09</v>
      </c>
      <c r="J22" s="57" t="s">
        <v>823</v>
      </c>
      <c r="K22" s="149"/>
      <c r="T22" s="148"/>
    </row>
    <row r="23" spans="1:26" s="142" customFormat="1" ht="15.75" customHeight="1" x14ac:dyDescent="0.25">
      <c r="A23" s="146"/>
      <c r="B23" s="34"/>
      <c r="C23" s="44" t="str">
        <f>+Sewer!B52</f>
        <v>Treatment plants &amp; outfalls (Ht)</v>
      </c>
      <c r="D23" s="55"/>
      <c r="E23" s="35"/>
      <c r="F23" s="121">
        <f>+Sewer!G52</f>
        <v>0</v>
      </c>
      <c r="G23" s="316" t="s">
        <v>215</v>
      </c>
      <c r="H23" s="308">
        <f>+F23</f>
        <v>0</v>
      </c>
      <c r="I23" s="39" t="str">
        <f>+I22</f>
        <v>Jun '09</v>
      </c>
      <c r="J23" s="71" t="s">
        <v>824</v>
      </c>
      <c r="K23" s="149"/>
      <c r="T23" s="148"/>
    </row>
    <row r="24" spans="1:26" s="142" customFormat="1" ht="33" customHeight="1" x14ac:dyDescent="0.25">
      <c r="A24" s="146"/>
      <c r="B24" s="632" t="str">
        <f>+Water!A1</f>
        <v>Developer contributions towards the cost of water supply headworks</v>
      </c>
      <c r="C24" s="633"/>
      <c r="D24" s="633"/>
      <c r="E24" s="634"/>
      <c r="F24" s="122"/>
      <c r="G24" s="317"/>
      <c r="H24" s="309"/>
      <c r="I24" s="37"/>
      <c r="J24" s="72"/>
      <c r="K24" s="149"/>
      <c r="T24" s="148"/>
    </row>
    <row r="25" spans="1:26" ht="18" customHeight="1" x14ac:dyDescent="0.25">
      <c r="B25" s="45"/>
      <c r="C25" s="46" t="str">
        <f>+Water!B51</f>
        <v>Source works ($Hs)</v>
      </c>
      <c r="D25" s="46"/>
      <c r="E25" s="50"/>
      <c r="F25" s="120">
        <f>+Water!G51</f>
        <v>0</v>
      </c>
      <c r="G25" s="315" t="s">
        <v>215</v>
      </c>
      <c r="H25" s="307">
        <f t="shared" ref="H25:H31" si="0">+F25</f>
        <v>0</v>
      </c>
      <c r="I25" s="40" t="str">
        <f>+Water!G50</f>
        <v>Jun '09</v>
      </c>
      <c r="J25" s="57" t="s">
        <v>831</v>
      </c>
      <c r="K25" s="149"/>
      <c r="T25" s="150"/>
      <c r="V25" s="151"/>
      <c r="X25" s="151"/>
      <c r="Z25" s="151"/>
    </row>
    <row r="26" spans="1:26" ht="18" customHeight="1" x14ac:dyDescent="0.25">
      <c r="B26" s="45"/>
      <c r="C26" s="46" t="str">
        <f>+Water!B52</f>
        <v>Reservoirs ($Hr)</v>
      </c>
      <c r="D26" s="46"/>
      <c r="E26" s="50"/>
      <c r="F26" s="120">
        <f>+Water!G52</f>
        <v>0</v>
      </c>
      <c r="G26" s="315" t="s">
        <v>215</v>
      </c>
      <c r="H26" s="307">
        <f t="shared" si="0"/>
        <v>0</v>
      </c>
      <c r="I26" s="40" t="str">
        <f>+I25</f>
        <v>Jun '09</v>
      </c>
      <c r="J26" s="57" t="s">
        <v>825</v>
      </c>
      <c r="K26" s="149"/>
      <c r="T26" s="150"/>
      <c r="V26" s="151"/>
      <c r="X26" s="151"/>
      <c r="Z26" s="151"/>
    </row>
    <row r="27" spans="1:26" ht="18" customHeight="1" x14ac:dyDescent="0.25">
      <c r="B27" s="45"/>
      <c r="C27" s="46" t="str">
        <f>+Water!B53</f>
        <v>Delivery mains ($Hd)</v>
      </c>
      <c r="D27" s="46"/>
      <c r="E27" s="50"/>
      <c r="F27" s="120">
        <f>+Water!G53</f>
        <v>0</v>
      </c>
      <c r="G27" s="315" t="s">
        <v>215</v>
      </c>
      <c r="H27" s="307">
        <f t="shared" si="0"/>
        <v>0</v>
      </c>
      <c r="I27" s="40" t="str">
        <f>+I26</f>
        <v>Jun '09</v>
      </c>
      <c r="J27" s="57" t="s">
        <v>826</v>
      </c>
      <c r="K27" s="149"/>
      <c r="T27" s="150"/>
      <c r="V27" s="151"/>
      <c r="X27" s="151"/>
      <c r="Z27" s="151"/>
    </row>
    <row r="28" spans="1:26" ht="18" customHeight="1" x14ac:dyDescent="0.25">
      <c r="B28" s="47"/>
      <c r="C28" s="48" t="str">
        <f>+Water!B54</f>
        <v>Distribution mains ($Hm)</v>
      </c>
      <c r="D28" s="46"/>
      <c r="E28" s="51"/>
      <c r="F28" s="120">
        <f>+Water!G54</f>
        <v>0</v>
      </c>
      <c r="G28" s="315" t="s">
        <v>215</v>
      </c>
      <c r="H28" s="307">
        <f t="shared" si="0"/>
        <v>0</v>
      </c>
      <c r="I28" s="41" t="str">
        <f>+I26</f>
        <v>Jun '09</v>
      </c>
      <c r="J28" s="73" t="s">
        <v>826</v>
      </c>
      <c r="K28" s="149"/>
      <c r="T28" s="150"/>
    </row>
    <row r="29" spans="1:26" ht="30" customHeight="1" x14ac:dyDescent="0.25">
      <c r="B29" s="638" t="str">
        <f>+'Open Space'!A1</f>
        <v>Public Garden and Recreation Space</v>
      </c>
      <c r="C29" s="639"/>
      <c r="D29" s="639"/>
      <c r="E29" s="640"/>
      <c r="F29" s="123">
        <f>+'Open Space'!E19</f>
        <v>0</v>
      </c>
      <c r="G29" s="318" t="s">
        <v>215</v>
      </c>
      <c r="H29" s="310">
        <f t="shared" si="0"/>
        <v>0</v>
      </c>
      <c r="I29" s="52" t="str">
        <f>+'Open Space'!K13</f>
        <v>Jun '09</v>
      </c>
      <c r="J29" s="74" t="s">
        <v>822</v>
      </c>
      <c r="K29" s="149"/>
      <c r="T29" s="152"/>
    </row>
    <row r="30" spans="1:26" ht="34.5" customHeight="1" x14ac:dyDescent="0.25">
      <c r="B30" s="638" t="str">
        <f>+'Car Parking'!A1</f>
        <v>Contributions towards the cost of the provision of off-street car parking spaces</v>
      </c>
      <c r="C30" s="639"/>
      <c r="D30" s="639"/>
      <c r="E30" s="640"/>
      <c r="F30" s="123">
        <f>+'Car Parking'!E16</f>
        <v>0</v>
      </c>
      <c r="G30" s="318" t="s">
        <v>215</v>
      </c>
      <c r="H30" s="310">
        <f t="shared" si="0"/>
        <v>0</v>
      </c>
      <c r="I30" s="52" t="str">
        <f>+'Car Parking'!E15</f>
        <v>Jun '09</v>
      </c>
      <c r="J30" s="74" t="s">
        <v>829</v>
      </c>
      <c r="K30" s="149"/>
    </row>
    <row r="31" spans="1:26" ht="50.25" customHeight="1" x14ac:dyDescent="0.25">
      <c r="B31" s="632" t="str">
        <f>+'Peds &amp; Bikes'!A1</f>
        <v>Planning Scheme Policy for infrastructure contributions - stormwater and transport infrastructure (Pedestrians and Bikeways)</v>
      </c>
      <c r="C31" s="633"/>
      <c r="D31" s="633"/>
      <c r="E31" s="634"/>
      <c r="F31" s="124">
        <f>+'Peds &amp; Bikes'!G31</f>
        <v>0</v>
      </c>
      <c r="G31" s="318" t="s">
        <v>215</v>
      </c>
      <c r="H31" s="310">
        <f t="shared" si="0"/>
        <v>0</v>
      </c>
      <c r="I31" s="53" t="str">
        <f>+'Peds &amp; Bikes'!G30</f>
        <v>Jun '09</v>
      </c>
      <c r="J31" s="74" t="s">
        <v>827</v>
      </c>
      <c r="K31" s="149"/>
    </row>
    <row r="32" spans="1:26" ht="48" customHeight="1" x14ac:dyDescent="0.25">
      <c r="B32" s="632" t="str">
        <f>+Roads!$A$1</f>
        <v>Planning Scheme Policy for infrastructure contributions - stormwater and transport infrastructure (Roads)</v>
      </c>
      <c r="C32" s="633"/>
      <c r="D32" s="633"/>
      <c r="E32" s="633"/>
      <c r="F32" s="125"/>
      <c r="G32" s="311"/>
      <c r="H32" s="311"/>
      <c r="I32" s="54"/>
      <c r="J32" s="75"/>
      <c r="K32" s="149"/>
    </row>
    <row r="33" spans="1:22" ht="16.5" customHeight="1" x14ac:dyDescent="0.25">
      <c r="B33" s="116"/>
      <c r="C33" s="118" t="str">
        <f>+Roads!E28</f>
        <v>TCC Works</v>
      </c>
      <c r="D33" s="117"/>
      <c r="E33" s="117"/>
      <c r="F33" s="126">
        <f>+Roads!C35</f>
        <v>0</v>
      </c>
      <c r="G33" s="307">
        <f>+'Waivers 1, 2 and 3'!C68</f>
        <v>0</v>
      </c>
      <c r="H33" s="307">
        <f>+F33-G33</f>
        <v>0</v>
      </c>
      <c r="I33" s="40" t="str">
        <f>+Roads!L28</f>
        <v>Jun '09</v>
      </c>
      <c r="J33" s="40" t="str">
        <f>+Roads!M28</f>
        <v/>
      </c>
      <c r="K33" s="149"/>
    </row>
    <row r="34" spans="1:22" ht="16.5" customHeight="1" x14ac:dyDescent="0.25">
      <c r="B34" s="116"/>
      <c r="C34" s="46" t="str">
        <f>+Roads!E29</f>
        <v>TCC Land</v>
      </c>
      <c r="D34" s="117"/>
      <c r="E34" s="117"/>
      <c r="F34" s="126">
        <f>+Roads!C36</f>
        <v>0</v>
      </c>
      <c r="G34" s="307">
        <f>+'Waivers 1, 2 and 3'!C69</f>
        <v>0</v>
      </c>
      <c r="H34" s="307">
        <f>+F34-G34</f>
        <v>0</v>
      </c>
      <c r="I34" s="40" t="str">
        <f>+Roads!L29</f>
        <v>Jun '09</v>
      </c>
      <c r="J34" s="40" t="str">
        <f>+Roads!M29</f>
        <v/>
      </c>
      <c r="K34" s="149"/>
    </row>
    <row r="35" spans="1:22" ht="16.5" customHeight="1" x14ac:dyDescent="0.25">
      <c r="B35" s="45"/>
      <c r="C35" s="46" t="str">
        <f>+Roads!E30</f>
        <v>SCR Works</v>
      </c>
      <c r="D35" s="46"/>
      <c r="E35" s="46"/>
      <c r="F35" s="126">
        <f>+Roads!C37</f>
        <v>0</v>
      </c>
      <c r="G35" s="307">
        <f>+'Waivers 1, 2 and 3'!C70</f>
        <v>0</v>
      </c>
      <c r="H35" s="307">
        <f>+F35-G35</f>
        <v>0</v>
      </c>
      <c r="I35" s="40" t="str">
        <f>+Roads!L30</f>
        <v>Jun '09</v>
      </c>
      <c r="J35" s="40" t="str">
        <f>+Roads!M30</f>
        <v/>
      </c>
      <c r="K35" s="149"/>
      <c r="L35" s="143"/>
      <c r="M35" s="143"/>
      <c r="N35" s="143"/>
      <c r="O35" s="143"/>
      <c r="P35" s="143"/>
      <c r="Q35" s="143"/>
      <c r="T35" s="150"/>
    </row>
    <row r="36" spans="1:22" ht="16.5" customHeight="1" x14ac:dyDescent="0.25">
      <c r="B36" s="47"/>
      <c r="C36" s="46" t="str">
        <f>+Roads!E31</f>
        <v>SCR Land</v>
      </c>
      <c r="D36" s="46"/>
      <c r="E36" s="48"/>
      <c r="F36" s="126">
        <f>+Roads!C38</f>
        <v>0</v>
      </c>
      <c r="G36" s="307">
        <f>+'Waivers 1, 2 and 3'!C71</f>
        <v>0</v>
      </c>
      <c r="H36" s="307">
        <f>+F36-G36</f>
        <v>0</v>
      </c>
      <c r="I36" s="40" t="str">
        <f>+Roads!L31</f>
        <v>Jun '09</v>
      </c>
      <c r="J36" s="40" t="str">
        <f>+Roads!M31</f>
        <v/>
      </c>
      <c r="K36" s="149"/>
      <c r="M36" s="143"/>
      <c r="N36" s="143"/>
      <c r="O36" s="143"/>
      <c r="P36" s="143"/>
      <c r="Q36" s="143"/>
      <c r="T36" s="150"/>
    </row>
    <row r="37" spans="1:22" ht="51.75" customHeight="1" x14ac:dyDescent="0.25">
      <c r="B37" s="632" t="str">
        <f>+'Storm Water'!A1</f>
        <v>Planning Scheme Policy for infrastructure contributions - stormwater and transport infrastructure (Stormwater)</v>
      </c>
      <c r="C37" s="633"/>
      <c r="D37" s="633"/>
      <c r="E37" s="633"/>
      <c r="F37" s="127"/>
      <c r="G37" s="312"/>
      <c r="H37" s="312"/>
      <c r="I37" s="54"/>
      <c r="J37" s="75"/>
      <c r="K37" s="149"/>
      <c r="M37" s="143"/>
      <c r="N37" s="143"/>
      <c r="O37" s="143"/>
      <c r="P37" s="143"/>
      <c r="Q37" s="143"/>
      <c r="T37" s="150"/>
      <c r="V37" s="151"/>
    </row>
    <row r="38" spans="1:22" ht="14.25" customHeight="1" x14ac:dyDescent="0.25">
      <c r="B38" s="47"/>
      <c r="C38" s="48"/>
      <c r="D38" s="46"/>
      <c r="E38" s="48"/>
      <c r="F38" s="128">
        <f>+'Storm Water'!C30</f>
        <v>0</v>
      </c>
      <c r="G38" s="313" t="s">
        <v>215</v>
      </c>
      <c r="H38" s="313">
        <f>+F38</f>
        <v>0</v>
      </c>
      <c r="I38" s="41" t="str">
        <f>+'Storm Water'!D30</f>
        <v>Jun '09</v>
      </c>
      <c r="J38" s="73" t="s">
        <v>828</v>
      </c>
      <c r="K38" s="149"/>
      <c r="M38" s="143"/>
      <c r="N38" s="143"/>
      <c r="O38" s="143"/>
      <c r="P38" s="143"/>
      <c r="Q38" s="143"/>
      <c r="T38" s="150"/>
      <c r="V38" s="151"/>
    </row>
    <row r="39" spans="1:22" ht="32.25" customHeight="1" x14ac:dyDescent="0.25">
      <c r="B39" s="67" t="s">
        <v>211</v>
      </c>
      <c r="C39" s="60"/>
      <c r="D39" s="60"/>
      <c r="E39" s="33"/>
      <c r="F39" s="68">
        <f>SUM(F21:F38)</f>
        <v>0</v>
      </c>
      <c r="G39" s="68">
        <f>SUM(G21:G38)</f>
        <v>0</v>
      </c>
      <c r="H39" s="314">
        <f>SUM(H21:H38)</f>
        <v>0</v>
      </c>
      <c r="I39" s="33"/>
      <c r="J39" s="74"/>
      <c r="M39" s="153"/>
      <c r="N39" s="153"/>
      <c r="O39" s="153"/>
      <c r="P39" s="153"/>
      <c r="Q39" s="153"/>
      <c r="T39" s="150"/>
      <c r="V39" s="151"/>
    </row>
    <row r="40" spans="1:22" x14ac:dyDescent="0.25">
      <c r="M40" s="154"/>
      <c r="N40" s="154"/>
      <c r="O40" s="154"/>
      <c r="P40" s="154"/>
      <c r="Q40" s="154"/>
      <c r="T40" s="150"/>
    </row>
    <row r="41" spans="1:22" x14ac:dyDescent="0.25">
      <c r="B41" s="155"/>
      <c r="T41" s="156"/>
    </row>
    <row r="42" spans="1:22" x14ac:dyDescent="0.25">
      <c r="B42" s="276" t="s">
        <v>129</v>
      </c>
      <c r="C42" s="277"/>
      <c r="D42" s="277"/>
      <c r="E42" s="277"/>
      <c r="F42" s="277"/>
      <c r="G42" s="277"/>
      <c r="H42" s="277"/>
      <c r="I42" s="277"/>
      <c r="J42" s="277"/>
    </row>
    <row r="43" spans="1:22" ht="72" customHeight="1" x14ac:dyDescent="0.25">
      <c r="A43" s="278">
        <v>1</v>
      </c>
      <c r="B43" s="622" t="s">
        <v>230</v>
      </c>
      <c r="C43" s="623"/>
      <c r="D43" s="623"/>
      <c r="E43" s="623"/>
      <c r="F43" s="623"/>
      <c r="G43" s="623"/>
      <c r="H43" s="623"/>
      <c r="I43" s="623"/>
      <c r="J43" s="623"/>
    </row>
    <row r="44" spans="1:22" ht="75.75" customHeight="1" x14ac:dyDescent="0.25">
      <c r="A44" s="278">
        <v>2</v>
      </c>
      <c r="B44" s="622" t="s">
        <v>218</v>
      </c>
      <c r="C44" s="623"/>
      <c r="D44" s="623"/>
      <c r="E44" s="623"/>
      <c r="F44" s="623"/>
      <c r="G44" s="623"/>
      <c r="H44" s="623"/>
      <c r="I44" s="623"/>
      <c r="J44" s="623"/>
    </row>
    <row r="45" spans="1:22" ht="60.75" customHeight="1" x14ac:dyDescent="0.25">
      <c r="A45" s="278">
        <v>3</v>
      </c>
      <c r="B45" s="622" t="s">
        <v>241</v>
      </c>
      <c r="C45" s="623"/>
      <c r="D45" s="623"/>
      <c r="E45" s="623"/>
      <c r="F45" s="623"/>
      <c r="G45" s="623"/>
      <c r="H45" s="623"/>
      <c r="I45" s="623"/>
      <c r="J45" s="623"/>
    </row>
    <row r="46" spans="1:22" x14ac:dyDescent="0.25">
      <c r="A46" s="139">
        <v>4</v>
      </c>
      <c r="B46" s="139" t="s">
        <v>219</v>
      </c>
    </row>
  </sheetData>
  <sheetProtection password="CDF4" sheet="1" objects="1" scenarios="1"/>
  <mergeCells count="24">
    <mergeCell ref="B45:J45"/>
    <mergeCell ref="H20:I20"/>
    <mergeCell ref="B15:C15"/>
    <mergeCell ref="B13:C13"/>
    <mergeCell ref="B14:C14"/>
    <mergeCell ref="B16:C16"/>
    <mergeCell ref="B37:E37"/>
    <mergeCell ref="B21:E21"/>
    <mergeCell ref="B24:E24"/>
    <mergeCell ref="B20:E20"/>
    <mergeCell ref="B31:E31"/>
    <mergeCell ref="B32:E32"/>
    <mergeCell ref="B29:E29"/>
    <mergeCell ref="B30:E30"/>
    <mergeCell ref="B44:J44"/>
    <mergeCell ref="B43:J43"/>
    <mergeCell ref="E4:J4"/>
    <mergeCell ref="B4:D4"/>
    <mergeCell ref="E9:J9"/>
    <mergeCell ref="E10:J10"/>
    <mergeCell ref="E5:J5"/>
    <mergeCell ref="E6:J6"/>
    <mergeCell ref="E8:J8"/>
    <mergeCell ref="E7:J7"/>
  </mergeCells>
  <phoneticPr fontId="4" type="noConversion"/>
  <conditionalFormatting sqref="F21:H38">
    <cfRule type="cellIs" dxfId="0" priority="1" stopIfTrue="1" operator="lessThan">
      <formula>0</formula>
    </cfRule>
  </conditionalFormatting>
  <pageMargins left="0.75" right="0.75" top="1" bottom="1" header="0.5" footer="0.5"/>
  <pageSetup paperSize="9" scale="78"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149"/>
  <sheetViews>
    <sheetView showGridLines="0" zoomScale="75" workbookViewId="0">
      <selection activeCell="H14" sqref="H14"/>
    </sheetView>
  </sheetViews>
  <sheetFormatPr defaultColWidth="9.109375" defaultRowHeight="13.2" x14ac:dyDescent="0.25"/>
  <cols>
    <col min="1" max="1" width="5.5546875" style="132" customWidth="1"/>
    <col min="2" max="2" width="15.6640625" style="132" customWidth="1"/>
    <col min="3" max="3" width="13.6640625" style="132" customWidth="1"/>
    <col min="4" max="5" width="8.109375" style="132" customWidth="1"/>
    <col min="6" max="6" width="11.6640625" style="132" customWidth="1"/>
    <col min="7" max="7" width="14" style="132" customWidth="1"/>
    <col min="8" max="8" width="12.88671875" style="132" customWidth="1"/>
    <col min="9" max="9" width="14.33203125" style="132" customWidth="1"/>
    <col min="10" max="10" width="10.6640625" style="132" customWidth="1"/>
    <col min="11" max="11" width="10.109375" style="132" customWidth="1"/>
    <col min="12" max="12" width="9.109375" style="132"/>
    <col min="13" max="13" width="10.44140625" style="132" customWidth="1"/>
    <col min="14" max="14" width="8.44140625" style="132" customWidth="1"/>
    <col min="15" max="15" width="7.5546875" style="132" customWidth="1"/>
    <col min="16" max="16" width="10.5546875" style="132" customWidth="1"/>
    <col min="17" max="17" width="28.109375" style="132" customWidth="1"/>
    <col min="18" max="18" width="11.33203125" style="132" customWidth="1"/>
    <col min="19" max="28" width="9.109375" style="132"/>
    <col min="29" max="29" width="16.88671875" style="132" customWidth="1"/>
    <col min="30" max="31" width="9.109375" style="132"/>
    <col min="32" max="32" width="36.6640625" style="132" customWidth="1"/>
    <col min="33" max="16384" width="9.109375" style="132"/>
  </cols>
  <sheetData>
    <row r="1" spans="1:33" ht="15.6" x14ac:dyDescent="0.3">
      <c r="A1" s="138" t="s">
        <v>714</v>
      </c>
      <c r="N1" s="157" t="s">
        <v>806</v>
      </c>
    </row>
    <row r="2" spans="1:33" ht="60.75" customHeight="1" x14ac:dyDescent="0.25">
      <c r="E2" s="158"/>
      <c r="F2" s="158"/>
      <c r="G2" s="158"/>
      <c r="H2" s="158"/>
      <c r="I2" s="158"/>
      <c r="J2" s="158"/>
      <c r="K2" s="158"/>
    </row>
    <row r="3" spans="1:33" x14ac:dyDescent="0.25">
      <c r="A3" s="157">
        <v>1</v>
      </c>
      <c r="B3" s="159" t="s">
        <v>522</v>
      </c>
      <c r="AE3" s="160">
        <v>1</v>
      </c>
    </row>
    <row r="4" spans="1:33" x14ac:dyDescent="0.25">
      <c r="A4" s="157"/>
      <c r="B4" s="159"/>
      <c r="AE4" s="160"/>
    </row>
    <row r="5" spans="1:33" x14ac:dyDescent="0.25">
      <c r="A5" s="157">
        <v>2</v>
      </c>
      <c r="B5" s="159" t="s">
        <v>715</v>
      </c>
      <c r="AE5" s="160"/>
    </row>
    <row r="6" spans="1:33" x14ac:dyDescent="0.25">
      <c r="B6" s="584" t="s">
        <v>520</v>
      </c>
      <c r="C6" s="585"/>
      <c r="D6" s="647" t="s">
        <v>580</v>
      </c>
      <c r="E6" s="647"/>
      <c r="F6" s="647"/>
      <c r="G6" s="647"/>
      <c r="H6" s="607" t="s">
        <v>533</v>
      </c>
      <c r="I6" s="608"/>
      <c r="J6" s="609"/>
      <c r="K6" s="648" t="s">
        <v>592</v>
      </c>
      <c r="L6" s="607" t="s">
        <v>593</v>
      </c>
      <c r="M6" s="609"/>
      <c r="AE6" s="160"/>
    </row>
    <row r="7" spans="1:33" x14ac:dyDescent="0.25">
      <c r="B7" s="641"/>
      <c r="C7" s="642"/>
      <c r="D7" s="647"/>
      <c r="E7" s="647"/>
      <c r="F7" s="647"/>
      <c r="G7" s="647"/>
      <c r="H7" s="7" t="s">
        <v>695</v>
      </c>
      <c r="I7" s="7" t="s">
        <v>521</v>
      </c>
      <c r="J7" s="7" t="s">
        <v>797</v>
      </c>
      <c r="K7" s="649"/>
      <c r="L7" s="7" t="str">
        <f>+H7</f>
        <v>$/SU</v>
      </c>
      <c r="M7" s="7" t="s">
        <v>521</v>
      </c>
      <c r="AE7" s="160"/>
    </row>
    <row r="8" spans="1:33" x14ac:dyDescent="0.25">
      <c r="B8" s="652" t="s">
        <v>696</v>
      </c>
      <c r="C8" s="653"/>
      <c r="D8" s="18" t="s">
        <v>693</v>
      </c>
      <c r="E8" s="18"/>
      <c r="F8" s="18"/>
      <c r="G8" s="18"/>
      <c r="H8" s="347">
        <v>244.77</v>
      </c>
      <c r="I8" s="62" t="s">
        <v>804</v>
      </c>
      <c r="J8" s="58">
        <v>91.8</v>
      </c>
      <c r="K8" s="11">
        <f>+'June 2009 Summary'!$D$16/Sewer!J8</f>
        <v>1.0370370370370372</v>
      </c>
      <c r="L8" s="9">
        <f>+H8*K8</f>
        <v>253.8355555555556</v>
      </c>
      <c r="M8" s="62" t="str">
        <f>+'June 2009 Summary'!D14</f>
        <v>Jun '09</v>
      </c>
      <c r="AE8" s="160">
        <v>1</v>
      </c>
    </row>
    <row r="9" spans="1:33" x14ac:dyDescent="0.25">
      <c r="B9" s="654"/>
      <c r="C9" s="655"/>
      <c r="D9" s="12" t="s">
        <v>694</v>
      </c>
      <c r="E9" s="13"/>
      <c r="F9" s="13"/>
      <c r="G9" s="14"/>
      <c r="H9" s="348">
        <v>325.82</v>
      </c>
      <c r="I9" s="62" t="s">
        <v>804</v>
      </c>
      <c r="J9" s="58">
        <v>91.8</v>
      </c>
      <c r="K9" s="11">
        <f>+'June 2009 Summary'!$D$16/Sewer!J9</f>
        <v>1.0370370370370372</v>
      </c>
      <c r="L9" s="9">
        <f>+H9*K9</f>
        <v>337.88740740740747</v>
      </c>
      <c r="M9" s="62" t="str">
        <f>+M8</f>
        <v>Jun '09</v>
      </c>
      <c r="AE9" s="160"/>
    </row>
    <row r="10" spans="1:33" x14ac:dyDescent="0.25">
      <c r="H10" s="162" t="s">
        <v>807</v>
      </c>
      <c r="I10" s="162"/>
      <c r="AE10" s="160"/>
    </row>
    <row r="12" spans="1:33" x14ac:dyDescent="0.25">
      <c r="A12" s="157">
        <v>3</v>
      </c>
      <c r="B12" s="159" t="s">
        <v>717</v>
      </c>
    </row>
    <row r="13" spans="1:33" x14ac:dyDescent="0.25">
      <c r="B13" s="3" t="s">
        <v>524</v>
      </c>
      <c r="C13" s="4"/>
      <c r="D13" s="4"/>
      <c r="E13" s="5"/>
      <c r="F13" s="3" t="s">
        <v>526</v>
      </c>
      <c r="G13" s="6"/>
      <c r="H13" s="7" t="s">
        <v>525</v>
      </c>
      <c r="I13" s="8" t="s">
        <v>692</v>
      </c>
      <c r="J13" s="7" t="s">
        <v>689</v>
      </c>
    </row>
    <row r="14" spans="1:33" ht="15" customHeight="1" x14ac:dyDescent="0.25">
      <c r="F14" s="645" t="str">
        <f>INDEX($AC$72:$AC$131,AE14)</f>
        <v xml:space="preserve"> </v>
      </c>
      <c r="G14" s="646"/>
      <c r="H14" s="182"/>
      <c r="I14" s="15" t="str">
        <f>+IF(F14="FPA"," ",INDEX($AD$72:$AD$131,AE14))</f>
        <v xml:space="preserve"> </v>
      </c>
      <c r="J14" s="1" t="str">
        <f>+IF(OR(I14=" ",H14=0),"",IF(I14="10 + 3/bed",10+H14*3,IF(I14="2.5 + 7.5/unit",2.5+7.5*H14,IF(I14="10 (MIN 20)",MAX(20,10*H14),IF(I14="15 + 1.25/150m²",15+1.25*ROUNDUP((H14-300)/150,0),IF(I14="10 + 10/100m²",10+10*ROUNDUP((H14-200)/100,0),IF(I14="30 + 2.5/150m²",30+2.5*ROUNDUP((H14-300)/150,0),H14*I14)))))))</f>
        <v/>
      </c>
      <c r="L14" s="180" t="s">
        <v>129</v>
      </c>
      <c r="AE14" s="160">
        <v>1</v>
      </c>
      <c r="AF14" s="433" t="str">
        <f>IF($AE$3=2,INDEX($B$72:$F$99,AE14,1),"Not ROL")</f>
        <v>Not ROL</v>
      </c>
      <c r="AG14" s="132">
        <f>+H14</f>
        <v>0</v>
      </c>
    </row>
    <row r="15" spans="1:33" ht="15" customHeight="1" x14ac:dyDescent="0.25">
      <c r="F15" s="645" t="str">
        <f>INDEX($AC$72:$AC$131,AE15)</f>
        <v xml:space="preserve"> </v>
      </c>
      <c r="G15" s="646"/>
      <c r="H15" s="182"/>
      <c r="I15" s="15" t="str">
        <f>+IF(F15="FPA"," ",INDEX($AD$72:$AD$131,AE15))</f>
        <v xml:space="preserve"> </v>
      </c>
      <c r="J15" s="1" t="str">
        <f>+IF(OR(I15=" ",H15=0),"",IF(I15="10 + 3/bed",10+H15*3,IF(I15="2.5 + 7.5/unit",2.5+7.5*H15,IF(I15="10 (MIN 20)",MAX(20,10*H15),IF(I15="15 + 1.25/150m²",15+1.25*ROUNDUP((H15-300)/150,0),IF(I15="10 + 10/100m²",10+10*ROUNDUP((H15-200)/100,0),IF(I15="30 + 2.5/150m²",30+2.5*ROUNDUP((H15-300)/150,0),H15*I15)))))))</f>
        <v/>
      </c>
      <c r="L15" s="180"/>
      <c r="AE15" s="160">
        <v>1</v>
      </c>
      <c r="AF15" s="433" t="str">
        <f>IF($AE$3=2,INDEX($B$72:$F$99,AE15,1),"Not ROL")</f>
        <v>Not ROL</v>
      </c>
      <c r="AG15" s="132">
        <f>+H15</f>
        <v>0</v>
      </c>
    </row>
    <row r="16" spans="1:33" ht="15" customHeight="1" x14ac:dyDescent="0.25">
      <c r="F16" s="645" t="str">
        <f>INDEX($AC$72:$AC$131,AE16)</f>
        <v xml:space="preserve"> </v>
      </c>
      <c r="G16" s="646"/>
      <c r="H16" s="182"/>
      <c r="I16" s="15" t="str">
        <f>+IF(F16="FPA"," ",INDEX($AD$72:$AD$131,AE16))</f>
        <v xml:space="preserve"> </v>
      </c>
      <c r="J16" s="1" t="str">
        <f>+IF(OR(I16=" ",H16=0),"",IF(I16="10 + 3/bed",10+H16*3,IF(I16="2.5 + 7.5/unit",2.5+7.5*H16,IF(I16="10 (MIN 20)",MAX(20,10*H16),IF(I16="15 + 1.25/150m²",15+1.25*ROUNDUP((H16-300)/150,0),IF(I16="10 + 10/100m²",10+10*ROUNDUP((H16-200)/100,0),IF(I16="30 + 2.5/150m²",30+2.5*ROUNDUP((H16-300)/150,0),H16*I16)))))))</f>
        <v/>
      </c>
      <c r="L16" s="180"/>
      <c r="AE16" s="160">
        <v>1</v>
      </c>
      <c r="AF16" s="433" t="str">
        <f>IF($AE$3=2,INDEX($B$72:$F$99,AE16,1),"Not ROL")</f>
        <v>Not ROL</v>
      </c>
      <c r="AG16" s="132">
        <f>+H16</f>
        <v>0</v>
      </c>
    </row>
    <row r="17" spans="1:33" ht="15" customHeight="1" x14ac:dyDescent="0.25">
      <c r="F17" s="645" t="str">
        <f>INDEX($AC$72:$AC$131,AE17)</f>
        <v xml:space="preserve"> </v>
      </c>
      <c r="G17" s="646"/>
      <c r="H17" s="182"/>
      <c r="I17" s="15" t="str">
        <f>+IF(F17="FPA"," ",INDEX($AD$72:$AD$131,AE17))</f>
        <v xml:space="preserve"> </v>
      </c>
      <c r="J17" s="1" t="str">
        <f>+IF(OR(I17=" ",H17=0),"",IF(I17="10 + 3/bed",10+H17*3,IF(I17="2.5 + 7.5/unit",2.5+7.5*H17,IF(I17="10 (MIN 20)",MAX(20,10*H17),IF(I17="15 + 1.25/150m²",15+1.25*ROUNDUP((H17-300)/150,0),IF(I17="10 + 10/100m²",10+10*ROUNDUP((H17-200)/100,0),IF(I17="30 + 2.5/150m²",30+2.5*ROUNDUP((H17-300)/150,0),H17*I17)))))))</f>
        <v/>
      </c>
      <c r="L17" s="132" t="s">
        <v>130</v>
      </c>
      <c r="AE17" s="160">
        <v>1</v>
      </c>
      <c r="AF17" s="433" t="str">
        <f>IF($AE$3=2,INDEX($B$72:$F$99,AE17,1),"Not ROL")</f>
        <v>Not ROL</v>
      </c>
      <c r="AG17" s="132">
        <f>+H17</f>
        <v>0</v>
      </c>
    </row>
    <row r="18" spans="1:33" ht="15" customHeight="1" x14ac:dyDescent="0.25">
      <c r="F18" s="645" t="str">
        <f>INDEX($AC$72:$AC$131,AE18)</f>
        <v xml:space="preserve"> </v>
      </c>
      <c r="G18" s="646"/>
      <c r="H18" s="182"/>
      <c r="I18" s="15" t="str">
        <f>+IF(F18="FPA"," ",INDEX($AD$72:$AD$131,AE18))</f>
        <v xml:space="preserve"> </v>
      </c>
      <c r="J18" s="1" t="str">
        <f>+IF(OR(I18=" ",H18=0),"",IF(I18="10 + 3/bed",10+H18*3,IF(I18="2.5 + 7.5/unit",2.5+7.5*H18,IF(I18="10 (MIN 20)",MAX(20,10*H18),IF(I18="15 + 1.25/150m²",15+1.25*ROUNDUP((H18-300)/150,0),IF(I18="10 + 10/100m²",10+10*ROUNDUP((H18-200)/100,0),IF(I18="30 + 2.5/150m²",30+2.5*ROUNDUP((H18-300)/150,0),H18*I18)))))))</f>
        <v/>
      </c>
      <c r="L18" s="132" t="s">
        <v>131</v>
      </c>
      <c r="AE18" s="160">
        <v>1</v>
      </c>
      <c r="AF18" s="433" t="str">
        <f>IF($AE$3=2,INDEX($B$72:$F$99,AE18,1),"Not ROL")</f>
        <v>Not ROL</v>
      </c>
      <c r="AG18" s="132">
        <f>+H18</f>
        <v>0</v>
      </c>
    </row>
    <row r="19" spans="1:33" x14ac:dyDescent="0.25">
      <c r="E19" s="163" t="str">
        <f>+IF(OR(F14="FPA",F17="FPA",F18="FPA")," Please summarise First Principles Assessment (FPA):","Do not use this line - First Principles Assessment only")</f>
        <v>Do not use this line - First Principles Assessment only</v>
      </c>
      <c r="F19" s="656"/>
      <c r="G19" s="657"/>
      <c r="H19" s="182"/>
      <c r="I19" s="182"/>
      <c r="J19" s="2">
        <f>+IF(I19=" ","",H19*I19)</f>
        <v>0</v>
      </c>
      <c r="K19" s="164"/>
    </row>
    <row r="20" spans="1:33" x14ac:dyDescent="0.25">
      <c r="I20" s="165" t="s">
        <v>528</v>
      </c>
      <c r="J20" s="19">
        <f>SUM(J14:J19)</f>
        <v>0</v>
      </c>
      <c r="K20" s="164"/>
    </row>
    <row r="21" spans="1:33" x14ac:dyDescent="0.25">
      <c r="K21" s="164"/>
    </row>
    <row r="22" spans="1:33" x14ac:dyDescent="0.25">
      <c r="A22" s="157">
        <v>4</v>
      </c>
      <c r="B22" s="159" t="s">
        <v>718</v>
      </c>
      <c r="K22" s="164"/>
    </row>
    <row r="23" spans="1:33" x14ac:dyDescent="0.25">
      <c r="B23" s="650" t="s">
        <v>811</v>
      </c>
      <c r="C23" s="651"/>
      <c r="D23" s="651"/>
      <c r="E23" s="607" t="s">
        <v>698</v>
      </c>
      <c r="F23" s="608"/>
      <c r="G23" s="609"/>
      <c r="H23" s="643" t="s">
        <v>764</v>
      </c>
      <c r="K23" s="164"/>
    </row>
    <row r="24" spans="1:33" ht="15" customHeight="1" x14ac:dyDescent="0.25">
      <c r="B24" s="7" t="s">
        <v>697</v>
      </c>
      <c r="C24" s="7" t="s">
        <v>521</v>
      </c>
      <c r="D24" s="7" t="s">
        <v>597</v>
      </c>
      <c r="E24" s="7" t="s">
        <v>597</v>
      </c>
      <c r="F24" s="3" t="s">
        <v>697</v>
      </c>
      <c r="G24" s="7" t="s">
        <v>521</v>
      </c>
      <c r="H24" s="644"/>
      <c r="K24" s="164"/>
      <c r="AE24" s="160">
        <v>1</v>
      </c>
    </row>
    <row r="25" spans="1:33" ht="15" customHeight="1" x14ac:dyDescent="0.25">
      <c r="B25" s="182"/>
      <c r="C25" s="182"/>
      <c r="D25" s="182"/>
      <c r="E25" s="17" t="str">
        <f>IF(B25=0,"",'June 2009 Summary'!$D$15)</f>
        <v/>
      </c>
      <c r="F25" s="16" t="str">
        <f>IF(B25=0,"",B25/D25*E25)</f>
        <v/>
      </c>
      <c r="G25" s="10" t="str">
        <f>IF(B25=0,"",$M$8)</f>
        <v/>
      </c>
      <c r="H25" s="23" t="str">
        <f>+IF(B25=0,"",F25/$L$8)</f>
        <v/>
      </c>
      <c r="K25" s="164"/>
      <c r="AE25" s="160">
        <v>1</v>
      </c>
    </row>
    <row r="26" spans="1:33" ht="15" customHeight="1" x14ac:dyDescent="0.25">
      <c r="B26" s="182"/>
      <c r="C26" s="182"/>
      <c r="D26" s="182"/>
      <c r="E26" s="17" t="str">
        <f>IF(B26=0,"",'June 2009 Summary'!$D$15)</f>
        <v/>
      </c>
      <c r="F26" s="16" t="str">
        <f>IF(B26=0,"",B26/D26*E26)</f>
        <v/>
      </c>
      <c r="G26" s="10" t="str">
        <f>IF(B26=0,"",$M$8)</f>
        <v/>
      </c>
      <c r="H26" s="23" t="str">
        <f>+IF(B26=0,"",F26/$L$8)</f>
        <v/>
      </c>
      <c r="K26" s="164"/>
      <c r="AE26" s="160">
        <v>1</v>
      </c>
    </row>
    <row r="27" spans="1:33" x14ac:dyDescent="0.25">
      <c r="B27" s="182"/>
      <c r="C27" s="182"/>
      <c r="D27" s="182"/>
      <c r="E27" s="17" t="str">
        <f>IF(B27=0,"",'June 2009 Summary'!$D$15)</f>
        <v/>
      </c>
      <c r="F27" s="16" t="str">
        <f>IF(B27=0,"",B27/D27*E27)</f>
        <v/>
      </c>
      <c r="G27" s="10" t="str">
        <f>IF(B27=0,"",$M$8)</f>
        <v/>
      </c>
      <c r="H27" s="23" t="str">
        <f>+IF(B27=0,"",F27/$L$8)</f>
        <v/>
      </c>
      <c r="K27" s="164"/>
    </row>
    <row r="28" spans="1:33" x14ac:dyDescent="0.25">
      <c r="B28" s="166" t="s">
        <v>812</v>
      </c>
      <c r="G28" s="165" t="s">
        <v>528</v>
      </c>
      <c r="H28" s="19">
        <f>SUM(H25:H27)</f>
        <v>0</v>
      </c>
    </row>
    <row r="29" spans="1:33" x14ac:dyDescent="0.25">
      <c r="G29" s="165"/>
      <c r="H29" s="167"/>
    </row>
    <row r="30" spans="1:33" x14ac:dyDescent="0.25">
      <c r="A30" s="157">
        <v>5</v>
      </c>
      <c r="B30" s="159" t="s">
        <v>719</v>
      </c>
    </row>
    <row r="31" spans="1:33" x14ac:dyDescent="0.25">
      <c r="B31" s="650" t="s">
        <v>813</v>
      </c>
      <c r="C31" s="651"/>
      <c r="D31" s="651"/>
      <c r="E31" s="607" t="s">
        <v>698</v>
      </c>
      <c r="F31" s="608"/>
      <c r="G31" s="609"/>
      <c r="H31" s="643" t="s">
        <v>700</v>
      </c>
    </row>
    <row r="32" spans="1:33" x14ac:dyDescent="0.25">
      <c r="B32" s="7" t="s">
        <v>697</v>
      </c>
      <c r="C32" s="7" t="s">
        <v>521</v>
      </c>
      <c r="D32" s="7" t="s">
        <v>597</v>
      </c>
      <c r="E32" s="7" t="s">
        <v>597</v>
      </c>
      <c r="F32" s="3" t="s">
        <v>697</v>
      </c>
      <c r="G32" s="7" t="s">
        <v>521</v>
      </c>
      <c r="H32" s="644"/>
    </row>
    <row r="33" spans="1:15" x14ac:dyDescent="0.25">
      <c r="B33" s="182"/>
      <c r="C33" s="182"/>
      <c r="D33" s="182"/>
      <c r="E33" s="17" t="str">
        <f>IF(B33=0,"",'June 2009 Summary'!$D$15)</f>
        <v/>
      </c>
      <c r="F33" s="16" t="str">
        <f>IF(B33=0,"",B33/D33*E33)</f>
        <v/>
      </c>
      <c r="G33" s="10" t="str">
        <f>IF(B33=0,"",$M$8)</f>
        <v/>
      </c>
      <c r="H33" s="23" t="str">
        <f>+IF(B33=0,"",F33/$L$9)</f>
        <v/>
      </c>
    </row>
    <row r="34" spans="1:15" x14ac:dyDescent="0.25">
      <c r="B34" s="182"/>
      <c r="C34" s="182"/>
      <c r="D34" s="182"/>
      <c r="E34" s="17" t="str">
        <f>IF(B34=0,"",'June 2009 Summary'!$D$15)</f>
        <v/>
      </c>
      <c r="F34" s="16" t="str">
        <f>IF(B34=0,"",B34/D34*E34)</f>
        <v/>
      </c>
      <c r="G34" s="10" t="str">
        <f>IF(B34=0,"",$M$8)</f>
        <v/>
      </c>
      <c r="H34" s="23" t="str">
        <f>+IF(B34=0,"",F34/$L$9)</f>
        <v/>
      </c>
    </row>
    <row r="35" spans="1:15" x14ac:dyDescent="0.25">
      <c r="B35" s="182"/>
      <c r="C35" s="182"/>
      <c r="D35" s="182"/>
      <c r="E35" s="17" t="str">
        <f>IF(B35=0,"",'June 2009 Summary'!$D$15)</f>
        <v/>
      </c>
      <c r="F35" s="16" t="str">
        <f>IF(B35=0,"",B35/D35*E35)</f>
        <v/>
      </c>
      <c r="G35" s="10" t="str">
        <f>IF(B35=0,"",$M$8)</f>
        <v/>
      </c>
      <c r="H35" s="23" t="str">
        <f>+IF(B35=0,"",F35/$L$9)</f>
        <v/>
      </c>
    </row>
    <row r="36" spans="1:15" x14ac:dyDescent="0.25">
      <c r="B36" s="166" t="s">
        <v>814</v>
      </c>
      <c r="G36" s="165" t="s">
        <v>528</v>
      </c>
      <c r="H36" s="19">
        <f>SUM(H33:H35)</f>
        <v>0</v>
      </c>
    </row>
    <row r="37" spans="1:15" x14ac:dyDescent="0.25">
      <c r="G37" s="165"/>
      <c r="H37" s="167"/>
    </row>
    <row r="38" spans="1:15" x14ac:dyDescent="0.25">
      <c r="A38" s="157">
        <v>6</v>
      </c>
      <c r="B38" s="159" t="s">
        <v>720</v>
      </c>
      <c r="G38" s="165"/>
      <c r="H38" s="167"/>
    </row>
    <row r="39" spans="1:15" x14ac:dyDescent="0.25">
      <c r="B39" s="168" t="s">
        <v>699</v>
      </c>
      <c r="G39" s="165"/>
      <c r="H39" s="167"/>
      <c r="I39" s="167"/>
      <c r="J39" s="169"/>
    </row>
    <row r="40" spans="1:15" x14ac:dyDescent="0.25">
      <c r="B40" s="659" t="s">
        <v>521</v>
      </c>
      <c r="C40" s="584" t="s">
        <v>703</v>
      </c>
      <c r="D40" s="676"/>
      <c r="E40" s="676"/>
      <c r="F40" s="676"/>
      <c r="G40" s="585"/>
      <c r="H40" s="650" t="s">
        <v>816</v>
      </c>
      <c r="I40" s="651"/>
      <c r="J40" s="651"/>
      <c r="K40" s="651"/>
    </row>
    <row r="41" spans="1:15" ht="29.25" customHeight="1" x14ac:dyDescent="0.25">
      <c r="B41" s="660"/>
      <c r="C41" s="641"/>
      <c r="D41" s="677"/>
      <c r="E41" s="677"/>
      <c r="F41" s="677"/>
      <c r="G41" s="642"/>
      <c r="H41" s="674" t="s">
        <v>704</v>
      </c>
      <c r="I41" s="674"/>
      <c r="J41" s="674" t="s">
        <v>598</v>
      </c>
      <c r="K41" s="674"/>
    </row>
    <row r="42" spans="1:15" x14ac:dyDescent="0.25">
      <c r="B42" s="182"/>
      <c r="C42" s="687"/>
      <c r="D42" s="687"/>
      <c r="E42" s="687"/>
      <c r="F42" s="687"/>
      <c r="G42" s="687"/>
      <c r="H42" s="658"/>
      <c r="I42" s="658"/>
      <c r="J42" s="675"/>
      <c r="K42" s="675"/>
    </row>
    <row r="43" spans="1:15" x14ac:dyDescent="0.25">
      <c r="B43" s="182"/>
      <c r="C43" s="687"/>
      <c r="D43" s="687"/>
      <c r="E43" s="687"/>
      <c r="F43" s="687"/>
      <c r="G43" s="687"/>
      <c r="H43" s="658"/>
      <c r="I43" s="658"/>
      <c r="J43" s="675"/>
      <c r="K43" s="675"/>
    </row>
    <row r="44" spans="1:15" x14ac:dyDescent="0.25">
      <c r="B44" s="182"/>
      <c r="C44" s="687"/>
      <c r="D44" s="687"/>
      <c r="E44" s="687"/>
      <c r="F44" s="687"/>
      <c r="G44" s="687"/>
      <c r="H44" s="658"/>
      <c r="I44" s="658"/>
      <c r="J44" s="675"/>
      <c r="K44" s="675"/>
    </row>
    <row r="45" spans="1:15" x14ac:dyDescent="0.25">
      <c r="G45" s="165" t="s">
        <v>528</v>
      </c>
      <c r="H45" s="663">
        <f>SUM(H42:H44)</f>
        <v>0</v>
      </c>
      <c r="I45" s="663"/>
      <c r="J45" s="663">
        <f>SUM(J42:K44)</f>
        <v>0</v>
      </c>
      <c r="K45" s="663"/>
    </row>
    <row r="46" spans="1:15" x14ac:dyDescent="0.25">
      <c r="H46" s="166" t="s">
        <v>815</v>
      </c>
      <c r="O46" s="165"/>
    </row>
    <row r="47" spans="1:15" x14ac:dyDescent="0.25">
      <c r="A47" s="132">
        <v>7</v>
      </c>
      <c r="B47" s="159" t="s">
        <v>771</v>
      </c>
      <c r="E47" s="170"/>
      <c r="J47" s="159"/>
      <c r="M47" s="170"/>
    </row>
    <row r="48" spans="1:15" x14ac:dyDescent="0.25">
      <c r="B48" s="584" t="s">
        <v>772</v>
      </c>
      <c r="C48" s="676"/>
      <c r="D48" s="676"/>
      <c r="E48" s="676"/>
      <c r="F48" s="585"/>
      <c r="G48" s="24" t="s">
        <v>778</v>
      </c>
      <c r="K48" s="171"/>
      <c r="L48" s="172"/>
      <c r="M48" s="173"/>
    </row>
    <row r="49" spans="2:15" ht="15" x14ac:dyDescent="0.4">
      <c r="B49" s="641"/>
      <c r="C49" s="677"/>
      <c r="D49" s="677"/>
      <c r="E49" s="677"/>
      <c r="F49" s="642"/>
      <c r="G49" s="25" t="str">
        <f>+M8</f>
        <v>Jun '09</v>
      </c>
      <c r="H49" s="174"/>
      <c r="L49" s="175"/>
      <c r="M49" s="176"/>
    </row>
    <row r="50" spans="2:15" x14ac:dyDescent="0.25">
      <c r="B50" s="664" t="s">
        <v>779</v>
      </c>
      <c r="C50" s="665"/>
      <c r="D50" s="668" t="s">
        <v>780</v>
      </c>
      <c r="E50" s="669"/>
      <c r="F50" s="670"/>
      <c r="G50" s="661">
        <f>+IF(J20&gt;(H28+H45),L8*(J20-H28-H45),0)</f>
        <v>0</v>
      </c>
      <c r="H50" s="172" t="str">
        <f>+IF(J20&lt;(H28+H45),"Excess credit may be used to offset Hs of further development on this land (Policy s11(4))","")</f>
        <v/>
      </c>
      <c r="J50" s="159"/>
      <c r="M50" s="177"/>
      <c r="N50" s="177"/>
    </row>
    <row r="51" spans="2:15" x14ac:dyDescent="0.25">
      <c r="B51" s="666"/>
      <c r="C51" s="667"/>
      <c r="D51" s="671"/>
      <c r="E51" s="671"/>
      <c r="F51" s="672"/>
      <c r="G51" s="673"/>
      <c r="K51" s="171"/>
      <c r="L51" s="172"/>
      <c r="M51" s="177"/>
    </row>
    <row r="52" spans="2:15" x14ac:dyDescent="0.25">
      <c r="B52" s="664" t="s">
        <v>781</v>
      </c>
      <c r="C52" s="665"/>
      <c r="D52" s="668" t="s">
        <v>782</v>
      </c>
      <c r="E52" s="669"/>
      <c r="F52" s="670"/>
      <c r="G52" s="661">
        <f>+IF(J20&gt;(H36+J45),L9*(J20-H36-J45),0)</f>
        <v>0</v>
      </c>
      <c r="H52" s="172" t="str">
        <f>+IF(J20&lt;(H36+J45),"Excess credit may be used to offset Ht of further development on this land (Policy s11(4))","")</f>
        <v/>
      </c>
      <c r="O52" s="178"/>
    </row>
    <row r="53" spans="2:15" x14ac:dyDescent="0.25">
      <c r="B53" s="666"/>
      <c r="C53" s="667"/>
      <c r="D53" s="671"/>
      <c r="E53" s="671"/>
      <c r="F53" s="672"/>
      <c r="G53" s="662"/>
      <c r="N53" s="179"/>
    </row>
    <row r="54" spans="2:15" x14ac:dyDescent="0.25">
      <c r="B54" s="172"/>
      <c r="C54" s="172"/>
      <c r="D54" s="172"/>
      <c r="E54" s="172"/>
      <c r="F54" s="172"/>
      <c r="G54" s="172"/>
      <c r="H54" s="172" t="str">
        <f>+IF(G54&lt;0,"Excess credit may be used to offset Hm of further development on this land (Policy s12(4))","")</f>
        <v/>
      </c>
    </row>
    <row r="55" spans="2:15" x14ac:dyDescent="0.25">
      <c r="B55" s="172"/>
      <c r="C55" s="172"/>
      <c r="D55" s="172"/>
      <c r="E55" s="172"/>
      <c r="F55" s="172"/>
      <c r="G55" s="172"/>
    </row>
    <row r="62" spans="2:15" x14ac:dyDescent="0.25">
      <c r="B62" s="180" t="s">
        <v>534</v>
      </c>
    </row>
    <row r="64" spans="2:15" x14ac:dyDescent="0.25">
      <c r="B64" s="684" t="s">
        <v>522</v>
      </c>
      <c r="C64" s="685"/>
      <c r="D64" s="685"/>
      <c r="E64" s="686"/>
    </row>
    <row r="65" spans="2:30" x14ac:dyDescent="0.25">
      <c r="B65" s="20" t="s">
        <v>527</v>
      </c>
      <c r="C65" s="21"/>
      <c r="D65" s="21"/>
      <c r="E65" s="22"/>
    </row>
    <row r="66" spans="2:30" x14ac:dyDescent="0.25">
      <c r="B66" s="187" t="s">
        <v>701</v>
      </c>
      <c r="C66" s="188"/>
      <c r="D66" s="188"/>
      <c r="E66" s="189"/>
    </row>
    <row r="67" spans="2:30" x14ac:dyDescent="0.25">
      <c r="B67" s="107" t="s">
        <v>702</v>
      </c>
      <c r="C67" s="190"/>
      <c r="D67" s="190"/>
      <c r="E67" s="191"/>
    </row>
    <row r="70" spans="2:30" ht="12.75" customHeight="1" x14ac:dyDescent="0.25">
      <c r="B70" s="607" t="s">
        <v>589</v>
      </c>
      <c r="C70" s="608"/>
      <c r="D70" s="608"/>
      <c r="E70" s="608"/>
      <c r="F70" s="609"/>
      <c r="H70" s="595" t="s">
        <v>590</v>
      </c>
      <c r="I70" s="596"/>
      <c r="J70" s="596"/>
      <c r="K70" s="596"/>
      <c r="L70" s="597"/>
      <c r="M70" s="181"/>
      <c r="N70" s="595" t="s">
        <v>591</v>
      </c>
      <c r="O70" s="596"/>
      <c r="P70" s="596"/>
      <c r="Q70" s="596"/>
      <c r="R70" s="597"/>
      <c r="T70" s="595" t="s">
        <v>688</v>
      </c>
      <c r="U70" s="596"/>
      <c r="V70" s="596"/>
      <c r="W70" s="596"/>
      <c r="X70" s="597"/>
      <c r="Z70" s="607" t="s">
        <v>535</v>
      </c>
      <c r="AA70" s="608"/>
      <c r="AB70" s="608"/>
      <c r="AC70" s="608"/>
      <c r="AD70" s="609"/>
    </row>
    <row r="71" spans="2:30" x14ac:dyDescent="0.25">
      <c r="B71" s="678" t="s">
        <v>580</v>
      </c>
      <c r="C71" s="679"/>
      <c r="D71" s="680"/>
      <c r="E71" s="103" t="s">
        <v>509</v>
      </c>
      <c r="F71" s="112" t="s">
        <v>602</v>
      </c>
      <c r="H71" s="681" t="s">
        <v>508</v>
      </c>
      <c r="I71" s="682"/>
      <c r="J71" s="683"/>
      <c r="K71" s="184" t="s">
        <v>509</v>
      </c>
      <c r="L71" s="105" t="s">
        <v>602</v>
      </c>
      <c r="N71" s="681" t="s">
        <v>639</v>
      </c>
      <c r="O71" s="682"/>
      <c r="P71" s="683"/>
      <c r="Q71" s="184" t="s">
        <v>509</v>
      </c>
      <c r="R71" s="105" t="s">
        <v>602</v>
      </c>
      <c r="T71" s="103" t="s">
        <v>578</v>
      </c>
      <c r="U71" s="111"/>
      <c r="V71" s="111"/>
      <c r="W71" s="104"/>
      <c r="X71" s="112" t="s">
        <v>579</v>
      </c>
      <c r="Z71" s="349" t="str">
        <f>IF($AE$3=2,B71,IF($AE$3=1,"",N71))</f>
        <v/>
      </c>
      <c r="AA71" s="350"/>
      <c r="AB71" s="351"/>
      <c r="AC71" s="349" t="str">
        <f>IF($AE$3=2,E71,IF($AE$3=1,"",Q71))</f>
        <v/>
      </c>
      <c r="AD71" s="352" t="str">
        <f>IF($AE$3=2,F71,IF($AE$3=1,"",R71))</f>
        <v/>
      </c>
    </row>
    <row r="72" spans="2:30" x14ac:dyDescent="0.25">
      <c r="B72" s="20"/>
      <c r="C72" s="21"/>
      <c r="D72" s="21"/>
      <c r="E72" s="196"/>
      <c r="F72" s="193"/>
      <c r="H72" s="20" t="s">
        <v>527</v>
      </c>
      <c r="I72" s="21"/>
      <c r="J72" s="22"/>
      <c r="K72" s="193"/>
      <c r="L72" s="193"/>
      <c r="N72" s="20" t="s">
        <v>527</v>
      </c>
      <c r="O72" s="21"/>
      <c r="P72" s="21"/>
      <c r="Q72" s="193" t="s">
        <v>527</v>
      </c>
      <c r="R72" s="199" t="s">
        <v>527</v>
      </c>
      <c r="T72" s="20" t="s">
        <v>527</v>
      </c>
      <c r="U72" s="21"/>
      <c r="V72" s="21"/>
      <c r="W72" s="200"/>
      <c r="X72" s="193"/>
      <c r="Z72" s="203" t="s">
        <v>527</v>
      </c>
      <c r="AA72" s="204"/>
      <c r="AB72" s="205"/>
      <c r="AC72" s="206" t="s">
        <v>527</v>
      </c>
      <c r="AD72" s="207" t="s">
        <v>527</v>
      </c>
    </row>
    <row r="73" spans="2:30" x14ac:dyDescent="0.25">
      <c r="B73" s="187" t="s">
        <v>457</v>
      </c>
      <c r="C73" s="188"/>
      <c r="D73" s="188"/>
      <c r="E73" s="197" t="s">
        <v>510</v>
      </c>
      <c r="F73" s="194">
        <v>10</v>
      </c>
      <c r="H73" s="187" t="s">
        <v>599</v>
      </c>
      <c r="I73" s="188"/>
      <c r="J73" s="189"/>
      <c r="K73" s="194" t="s">
        <v>511</v>
      </c>
      <c r="L73" s="194">
        <v>95</v>
      </c>
      <c r="N73" s="187" t="s">
        <v>668</v>
      </c>
      <c r="O73" s="188"/>
      <c r="P73" s="188"/>
      <c r="Q73" s="194" t="s">
        <v>667</v>
      </c>
      <c r="R73" s="194" t="s">
        <v>669</v>
      </c>
      <c r="T73" s="187" t="s">
        <v>543</v>
      </c>
      <c r="U73" s="188"/>
      <c r="V73" s="188"/>
      <c r="W73" s="201"/>
      <c r="X73" s="194">
        <v>3</v>
      </c>
      <c r="Z73" s="208" t="str">
        <f>IF($AE$3=2,B73,IF($AE$3=1,"",N73))</f>
        <v/>
      </c>
      <c r="AA73" s="209"/>
      <c r="AB73" s="210"/>
      <c r="AC73" s="208" t="str">
        <f>IF($AE$3=2,E73,IF($AE$3=1,"",Q73))</f>
        <v/>
      </c>
      <c r="AD73" s="229" t="str">
        <f>IF($AE$3=2,F73,IF($AE$3=1,"",R73))</f>
        <v/>
      </c>
    </row>
    <row r="74" spans="2:30" x14ac:dyDescent="0.25">
      <c r="B74" s="187" t="s">
        <v>458</v>
      </c>
      <c r="C74" s="188"/>
      <c r="D74" s="188"/>
      <c r="E74" s="197" t="s">
        <v>510</v>
      </c>
      <c r="F74" s="194">
        <v>10</v>
      </c>
      <c r="H74" s="187" t="s">
        <v>600</v>
      </c>
      <c r="I74" s="188"/>
      <c r="J74" s="189"/>
      <c r="K74" s="194" t="s">
        <v>511</v>
      </c>
      <c r="L74" s="194">
        <v>95</v>
      </c>
      <c r="N74" s="187" t="s">
        <v>527</v>
      </c>
      <c r="O74" s="188"/>
      <c r="P74" s="188"/>
      <c r="Q74" s="194" t="s">
        <v>527</v>
      </c>
      <c r="R74" s="194" t="s">
        <v>527</v>
      </c>
      <c r="T74" s="187" t="s">
        <v>544</v>
      </c>
      <c r="U74" s="188"/>
      <c r="V74" s="188"/>
      <c r="W74" s="201"/>
      <c r="X74" s="194">
        <v>3</v>
      </c>
      <c r="Z74" s="208" t="str">
        <f t="shared" ref="Z74:Z131" si="0">IF($AE$3=2,B74,IF($AE$3=1,"",N74))</f>
        <v/>
      </c>
      <c r="AA74" s="209"/>
      <c r="AB74" s="210"/>
      <c r="AC74" s="208" t="str">
        <f t="shared" ref="AC74:AC131" si="1">IF($AE$3=2,E74,IF($AE$3=1,"",Q74))</f>
        <v/>
      </c>
      <c r="AD74" s="229" t="str">
        <f t="shared" ref="AD74:AD131" si="2">IF($AE$3=2,F74,IF($AE$3=1,"",R74))</f>
        <v/>
      </c>
    </row>
    <row r="75" spans="2:30" x14ac:dyDescent="0.25">
      <c r="B75" s="187" t="s">
        <v>459</v>
      </c>
      <c r="C75" s="188"/>
      <c r="D75" s="188"/>
      <c r="E75" s="197" t="s">
        <v>510</v>
      </c>
      <c r="F75" s="194">
        <v>10</v>
      </c>
      <c r="H75" s="187" t="s">
        <v>601</v>
      </c>
      <c r="I75" s="188"/>
      <c r="J75" s="189"/>
      <c r="K75" s="194" t="s">
        <v>511</v>
      </c>
      <c r="L75" s="194">
        <v>80</v>
      </c>
      <c r="N75" s="187" t="s">
        <v>640</v>
      </c>
      <c r="O75" s="188"/>
      <c r="P75" s="188"/>
      <c r="Q75" s="194" t="s">
        <v>512</v>
      </c>
      <c r="R75" s="194"/>
      <c r="T75" s="187" t="s">
        <v>545</v>
      </c>
      <c r="U75" s="188"/>
      <c r="V75" s="188"/>
      <c r="W75" s="201"/>
      <c r="X75" s="194">
        <v>1</v>
      </c>
      <c r="Z75" s="208" t="str">
        <f t="shared" si="0"/>
        <v/>
      </c>
      <c r="AA75" s="209"/>
      <c r="AB75" s="210"/>
      <c r="AC75" s="208" t="str">
        <f t="shared" si="1"/>
        <v/>
      </c>
      <c r="AD75" s="229" t="str">
        <f t="shared" si="2"/>
        <v/>
      </c>
    </row>
    <row r="76" spans="2:30" x14ac:dyDescent="0.25">
      <c r="B76" s="187" t="s">
        <v>460</v>
      </c>
      <c r="C76" s="188"/>
      <c r="D76" s="188"/>
      <c r="E76" s="197" t="s">
        <v>510</v>
      </c>
      <c r="F76" s="194">
        <v>10</v>
      </c>
      <c r="H76" s="187" t="s">
        <v>603</v>
      </c>
      <c r="I76" s="188"/>
      <c r="J76" s="189"/>
      <c r="K76" s="194" t="s">
        <v>511</v>
      </c>
      <c r="L76" s="194" t="s">
        <v>512</v>
      </c>
      <c r="N76" s="187" t="s">
        <v>641</v>
      </c>
      <c r="O76" s="188"/>
      <c r="P76" s="188"/>
      <c r="Q76" s="218" t="s">
        <v>837</v>
      </c>
      <c r="R76" s="194">
        <v>10</v>
      </c>
      <c r="T76" s="187" t="s">
        <v>546</v>
      </c>
      <c r="U76" s="188"/>
      <c r="V76" s="188"/>
      <c r="W76" s="201"/>
      <c r="X76" s="194">
        <v>3</v>
      </c>
      <c r="Z76" s="208" t="str">
        <f t="shared" si="0"/>
        <v/>
      </c>
      <c r="AA76" s="209"/>
      <c r="AB76" s="210"/>
      <c r="AC76" s="208" t="str">
        <f t="shared" si="1"/>
        <v/>
      </c>
      <c r="AD76" s="229" t="str">
        <f t="shared" si="2"/>
        <v/>
      </c>
    </row>
    <row r="77" spans="2:30" x14ac:dyDescent="0.25">
      <c r="B77" s="187" t="s">
        <v>461</v>
      </c>
      <c r="C77" s="188"/>
      <c r="D77" s="188"/>
      <c r="E77" s="197" t="s">
        <v>510</v>
      </c>
      <c r="F77" s="194">
        <v>28</v>
      </c>
      <c r="H77" s="187" t="s">
        <v>604</v>
      </c>
      <c r="I77" s="188"/>
      <c r="J77" s="189"/>
      <c r="K77" s="194" t="s">
        <v>511</v>
      </c>
      <c r="L77" s="194" t="s">
        <v>512</v>
      </c>
      <c r="N77" s="187" t="s">
        <v>642</v>
      </c>
      <c r="O77" s="188"/>
      <c r="P77" s="188"/>
      <c r="Q77" s="194" t="s">
        <v>512</v>
      </c>
      <c r="R77" s="194"/>
      <c r="T77" s="187" t="s">
        <v>547</v>
      </c>
      <c r="U77" s="188"/>
      <c r="V77" s="188"/>
      <c r="W77" s="201"/>
      <c r="X77" s="194">
        <v>1</v>
      </c>
      <c r="Z77" s="208" t="str">
        <f t="shared" si="0"/>
        <v/>
      </c>
      <c r="AA77" s="209"/>
      <c r="AB77" s="210"/>
      <c r="AC77" s="208" t="str">
        <f t="shared" si="1"/>
        <v/>
      </c>
      <c r="AD77" s="229" t="str">
        <f t="shared" si="2"/>
        <v/>
      </c>
    </row>
    <row r="78" spans="2:30" x14ac:dyDescent="0.25">
      <c r="B78" s="187" t="s">
        <v>462</v>
      </c>
      <c r="C78" s="188"/>
      <c r="D78" s="188"/>
      <c r="E78" s="197" t="s">
        <v>510</v>
      </c>
      <c r="F78" s="194">
        <v>28</v>
      </c>
      <c r="H78" s="187" t="s">
        <v>605</v>
      </c>
      <c r="I78" s="188"/>
      <c r="J78" s="189"/>
      <c r="K78" s="194" t="s">
        <v>511</v>
      </c>
      <c r="L78" s="194">
        <v>37.5</v>
      </c>
      <c r="N78" s="187" t="s">
        <v>673</v>
      </c>
      <c r="O78" s="188"/>
      <c r="P78" s="188"/>
      <c r="Q78" s="194" t="s">
        <v>672</v>
      </c>
      <c r="R78" s="194">
        <v>10</v>
      </c>
      <c r="T78" s="187" t="s">
        <v>548</v>
      </c>
      <c r="U78" s="188"/>
      <c r="V78" s="188"/>
      <c r="W78" s="201"/>
      <c r="X78" s="194">
        <v>1</v>
      </c>
      <c r="Z78" s="208" t="str">
        <f t="shared" si="0"/>
        <v/>
      </c>
      <c r="AA78" s="209"/>
      <c r="AB78" s="210"/>
      <c r="AC78" s="208" t="str">
        <f t="shared" si="1"/>
        <v/>
      </c>
      <c r="AD78" s="229" t="str">
        <f t="shared" si="2"/>
        <v/>
      </c>
    </row>
    <row r="79" spans="2:30" x14ac:dyDescent="0.25">
      <c r="B79" s="187" t="s">
        <v>463</v>
      </c>
      <c r="C79" s="188"/>
      <c r="D79" s="188"/>
      <c r="E79" s="197" t="s">
        <v>510</v>
      </c>
      <c r="F79" s="194">
        <v>28</v>
      </c>
      <c r="H79" s="187" t="s">
        <v>518</v>
      </c>
      <c r="I79" s="188"/>
      <c r="J79" s="189"/>
      <c r="K79" s="194" t="s">
        <v>511</v>
      </c>
      <c r="L79" s="194">
        <v>37.5</v>
      </c>
      <c r="N79" s="187" t="s">
        <v>671</v>
      </c>
      <c r="O79" s="188"/>
      <c r="P79" s="188"/>
      <c r="Q79" s="194" t="s">
        <v>672</v>
      </c>
      <c r="R79" s="194">
        <v>15</v>
      </c>
      <c r="T79" s="187" t="s">
        <v>549</v>
      </c>
      <c r="U79" s="188"/>
      <c r="V79" s="188"/>
      <c r="W79" s="201"/>
      <c r="X79" s="194">
        <v>4</v>
      </c>
      <c r="Z79" s="208" t="str">
        <f t="shared" si="0"/>
        <v/>
      </c>
      <c r="AA79" s="209"/>
      <c r="AB79" s="210"/>
      <c r="AC79" s="208" t="str">
        <f t="shared" si="1"/>
        <v/>
      </c>
      <c r="AD79" s="229" t="str">
        <f t="shared" si="2"/>
        <v/>
      </c>
    </row>
    <row r="80" spans="2:30" x14ac:dyDescent="0.25">
      <c r="B80" s="187" t="s">
        <v>464</v>
      </c>
      <c r="C80" s="188"/>
      <c r="D80" s="188"/>
      <c r="E80" s="197" t="s">
        <v>510</v>
      </c>
      <c r="F80" s="194">
        <v>28</v>
      </c>
      <c r="H80" s="187" t="s">
        <v>606</v>
      </c>
      <c r="I80" s="188"/>
      <c r="J80" s="189"/>
      <c r="K80" s="194" t="s">
        <v>511</v>
      </c>
      <c r="L80" s="194">
        <v>37.5</v>
      </c>
      <c r="N80" s="187" t="s">
        <v>670</v>
      </c>
      <c r="O80" s="188"/>
      <c r="P80" s="188"/>
      <c r="Q80" s="219" t="s">
        <v>841</v>
      </c>
      <c r="R80" s="194" t="s">
        <v>684</v>
      </c>
      <c r="T80" s="187" t="s">
        <v>550</v>
      </c>
      <c r="U80" s="188"/>
      <c r="V80" s="188"/>
      <c r="W80" s="201"/>
      <c r="X80" s="194">
        <v>4</v>
      </c>
      <c r="Z80" s="208" t="str">
        <f t="shared" si="0"/>
        <v/>
      </c>
      <c r="AA80" s="209"/>
      <c r="AB80" s="210"/>
      <c r="AC80" s="208" t="str">
        <f t="shared" si="1"/>
        <v/>
      </c>
      <c r="AD80" s="229" t="str">
        <f t="shared" si="2"/>
        <v/>
      </c>
    </row>
    <row r="81" spans="2:30" x14ac:dyDescent="0.25">
      <c r="B81" s="187" t="s">
        <v>603</v>
      </c>
      <c r="C81" s="188"/>
      <c r="D81" s="188"/>
      <c r="E81" s="197" t="s">
        <v>512</v>
      </c>
      <c r="F81" s="194" t="s">
        <v>512</v>
      </c>
      <c r="H81" s="187" t="s">
        <v>607</v>
      </c>
      <c r="I81" s="188"/>
      <c r="J81" s="189"/>
      <c r="K81" s="194" t="s">
        <v>511</v>
      </c>
      <c r="L81" s="194">
        <v>75</v>
      </c>
      <c r="N81" s="187" t="s">
        <v>643</v>
      </c>
      <c r="O81" s="188"/>
      <c r="P81" s="188"/>
      <c r="Q81" s="194" t="s">
        <v>674</v>
      </c>
      <c r="R81" s="194">
        <v>5</v>
      </c>
      <c r="T81" s="187" t="s">
        <v>551</v>
      </c>
      <c r="U81" s="188"/>
      <c r="V81" s="188"/>
      <c r="W81" s="201"/>
      <c r="X81" s="194">
        <v>6</v>
      </c>
      <c r="Z81" s="208" t="str">
        <f t="shared" si="0"/>
        <v/>
      </c>
      <c r="AA81" s="209"/>
      <c r="AB81" s="210"/>
      <c r="AC81" s="208" t="str">
        <f t="shared" si="1"/>
        <v/>
      </c>
      <c r="AD81" s="229" t="str">
        <f t="shared" si="2"/>
        <v/>
      </c>
    </row>
    <row r="82" spans="2:30" x14ac:dyDescent="0.25">
      <c r="B82" s="187" t="s">
        <v>604</v>
      </c>
      <c r="C82" s="188"/>
      <c r="D82" s="188"/>
      <c r="E82" s="197" t="s">
        <v>512</v>
      </c>
      <c r="F82" s="194" t="s">
        <v>512</v>
      </c>
      <c r="H82" s="187" t="s">
        <v>608</v>
      </c>
      <c r="I82" s="188"/>
      <c r="J82" s="189"/>
      <c r="K82" s="194" t="s">
        <v>511</v>
      </c>
      <c r="L82" s="194">
        <v>75</v>
      </c>
      <c r="N82" s="187" t="s">
        <v>644</v>
      </c>
      <c r="O82" s="188"/>
      <c r="P82" s="188"/>
      <c r="Q82" s="194" t="s">
        <v>675</v>
      </c>
      <c r="R82" s="194">
        <v>3</v>
      </c>
      <c r="T82" s="187" t="s">
        <v>552</v>
      </c>
      <c r="U82" s="188"/>
      <c r="V82" s="188"/>
      <c r="W82" s="201"/>
      <c r="X82" s="194">
        <v>1</v>
      </c>
      <c r="Z82" s="208" t="str">
        <f t="shared" si="0"/>
        <v/>
      </c>
      <c r="AA82" s="209"/>
      <c r="AB82" s="210"/>
      <c r="AC82" s="208" t="str">
        <f t="shared" si="1"/>
        <v/>
      </c>
      <c r="AD82" s="229" t="str">
        <f t="shared" si="2"/>
        <v/>
      </c>
    </row>
    <row r="83" spans="2:30" x14ac:dyDescent="0.25">
      <c r="B83" s="187" t="s">
        <v>617</v>
      </c>
      <c r="C83" s="188"/>
      <c r="D83" s="188"/>
      <c r="E83" s="197" t="s">
        <v>510</v>
      </c>
      <c r="F83" s="194">
        <v>10</v>
      </c>
      <c r="H83" s="187" t="s">
        <v>609</v>
      </c>
      <c r="I83" s="188"/>
      <c r="J83" s="189"/>
      <c r="K83" s="194" t="s">
        <v>511</v>
      </c>
      <c r="L83" s="194">
        <v>75</v>
      </c>
      <c r="N83" s="187" t="s">
        <v>587</v>
      </c>
      <c r="O83" s="188"/>
      <c r="P83" s="188"/>
      <c r="Q83" s="194" t="s">
        <v>676</v>
      </c>
      <c r="R83" s="194">
        <v>10</v>
      </c>
      <c r="T83" s="187" t="s">
        <v>553</v>
      </c>
      <c r="U83" s="188"/>
      <c r="V83" s="188"/>
      <c r="W83" s="201"/>
      <c r="X83" s="194">
        <v>4</v>
      </c>
      <c r="Z83" s="208" t="str">
        <f t="shared" si="0"/>
        <v/>
      </c>
      <c r="AA83" s="209"/>
      <c r="AB83" s="210"/>
      <c r="AC83" s="208" t="str">
        <f t="shared" si="1"/>
        <v/>
      </c>
      <c r="AD83" s="229" t="str">
        <f t="shared" si="2"/>
        <v/>
      </c>
    </row>
    <row r="84" spans="2:30" x14ac:dyDescent="0.25">
      <c r="B84" s="187" t="s">
        <v>616</v>
      </c>
      <c r="C84" s="188"/>
      <c r="D84" s="188"/>
      <c r="E84" s="197" t="s">
        <v>511</v>
      </c>
      <c r="F84" s="194">
        <v>37.5</v>
      </c>
      <c r="H84" s="187" t="s">
        <v>610</v>
      </c>
      <c r="I84" s="188"/>
      <c r="J84" s="189"/>
      <c r="K84" s="194" t="s">
        <v>511</v>
      </c>
      <c r="L84" s="194">
        <v>75</v>
      </c>
      <c r="N84" s="187" t="s">
        <v>645</v>
      </c>
      <c r="O84" s="188"/>
      <c r="P84" s="188"/>
      <c r="Q84" s="218" t="s">
        <v>837</v>
      </c>
      <c r="R84" s="194">
        <v>10</v>
      </c>
      <c r="T84" s="187" t="s">
        <v>554</v>
      </c>
      <c r="U84" s="188"/>
      <c r="V84" s="188"/>
      <c r="W84" s="201"/>
      <c r="X84" s="194">
        <v>1</v>
      </c>
      <c r="Z84" s="208" t="str">
        <f t="shared" si="0"/>
        <v/>
      </c>
      <c r="AA84" s="209"/>
      <c r="AB84" s="210"/>
      <c r="AC84" s="208" t="str">
        <f t="shared" si="1"/>
        <v/>
      </c>
      <c r="AD84" s="229" t="str">
        <f t="shared" si="2"/>
        <v/>
      </c>
    </row>
    <row r="85" spans="2:30" x14ac:dyDescent="0.25">
      <c r="B85" s="187" t="s">
        <v>615</v>
      </c>
      <c r="C85" s="188"/>
      <c r="D85" s="188"/>
      <c r="E85" s="197" t="s">
        <v>510</v>
      </c>
      <c r="F85" s="194">
        <v>10</v>
      </c>
      <c r="H85" s="187" t="s">
        <v>611</v>
      </c>
      <c r="I85" s="188"/>
      <c r="J85" s="189"/>
      <c r="K85" s="194"/>
      <c r="L85" s="194" t="s">
        <v>512</v>
      </c>
      <c r="N85" s="187" t="s">
        <v>646</v>
      </c>
      <c r="O85" s="188"/>
      <c r="P85" s="188"/>
      <c r="Q85" s="218" t="s">
        <v>837</v>
      </c>
      <c r="R85" s="194">
        <v>10</v>
      </c>
      <c r="T85" s="187" t="s">
        <v>555</v>
      </c>
      <c r="U85" s="188"/>
      <c r="V85" s="188"/>
      <c r="W85" s="201"/>
      <c r="X85" s="194">
        <v>5</v>
      </c>
      <c r="Z85" s="208" t="str">
        <f t="shared" si="0"/>
        <v/>
      </c>
      <c r="AA85" s="209"/>
      <c r="AB85" s="210"/>
      <c r="AC85" s="208" t="str">
        <f t="shared" si="1"/>
        <v/>
      </c>
      <c r="AD85" s="229" t="str">
        <f t="shared" si="2"/>
        <v/>
      </c>
    </row>
    <row r="86" spans="2:30" x14ac:dyDescent="0.25">
      <c r="B86" s="187" t="s">
        <v>614</v>
      </c>
      <c r="C86" s="188"/>
      <c r="D86" s="188"/>
      <c r="E86" s="197" t="s">
        <v>511</v>
      </c>
      <c r="F86" s="194">
        <v>37.5</v>
      </c>
      <c r="H86" s="187" t="s">
        <v>612</v>
      </c>
      <c r="I86" s="188"/>
      <c r="J86" s="189"/>
      <c r="K86" s="194"/>
      <c r="L86" s="194" t="s">
        <v>512</v>
      </c>
      <c r="N86" s="187" t="s">
        <v>647</v>
      </c>
      <c r="O86" s="188"/>
      <c r="P86" s="188"/>
      <c r="Q86" s="194" t="s">
        <v>677</v>
      </c>
      <c r="R86" s="194">
        <v>10</v>
      </c>
      <c r="T86" s="187" t="s">
        <v>556</v>
      </c>
      <c r="U86" s="188"/>
      <c r="V86" s="188"/>
      <c r="W86" s="201"/>
      <c r="X86" s="194">
        <v>6</v>
      </c>
      <c r="Z86" s="208" t="str">
        <f t="shared" si="0"/>
        <v/>
      </c>
      <c r="AA86" s="209"/>
      <c r="AB86" s="210"/>
      <c r="AC86" s="208" t="str">
        <f t="shared" si="1"/>
        <v/>
      </c>
      <c r="AD86" s="229" t="str">
        <f t="shared" si="2"/>
        <v/>
      </c>
    </row>
    <row r="87" spans="2:30" x14ac:dyDescent="0.25">
      <c r="B87" s="187" t="s">
        <v>618</v>
      </c>
      <c r="C87" s="188"/>
      <c r="D87" s="188"/>
      <c r="E87" s="197" t="s">
        <v>510</v>
      </c>
      <c r="F87" s="194">
        <v>10</v>
      </c>
      <c r="H87" s="107" t="s">
        <v>613</v>
      </c>
      <c r="I87" s="190"/>
      <c r="J87" s="191"/>
      <c r="K87" s="195"/>
      <c r="L87" s="195" t="s">
        <v>512</v>
      </c>
      <c r="N87" s="187" t="s">
        <v>648</v>
      </c>
      <c r="O87" s="188"/>
      <c r="P87" s="188"/>
      <c r="Q87" s="194" t="s">
        <v>512</v>
      </c>
      <c r="R87" s="194"/>
      <c r="T87" s="187" t="s">
        <v>557</v>
      </c>
      <c r="U87" s="188"/>
      <c r="V87" s="188"/>
      <c r="W87" s="201"/>
      <c r="X87" s="194">
        <v>1</v>
      </c>
      <c r="Z87" s="208" t="str">
        <f t="shared" si="0"/>
        <v/>
      </c>
      <c r="AA87" s="209"/>
      <c r="AB87" s="210"/>
      <c r="AC87" s="208" t="str">
        <f t="shared" si="1"/>
        <v/>
      </c>
      <c r="AD87" s="229" t="str">
        <f t="shared" si="2"/>
        <v/>
      </c>
    </row>
    <row r="88" spans="2:30" x14ac:dyDescent="0.25">
      <c r="B88" s="187" t="s">
        <v>619</v>
      </c>
      <c r="C88" s="188"/>
      <c r="D88" s="188"/>
      <c r="E88" s="197" t="s">
        <v>511</v>
      </c>
      <c r="F88" s="194">
        <v>37.5</v>
      </c>
      <c r="K88" s="158"/>
      <c r="L88" s="158"/>
      <c r="N88" s="187" t="s">
        <v>649</v>
      </c>
      <c r="O88" s="188"/>
      <c r="P88" s="188"/>
      <c r="Q88" s="194" t="s">
        <v>678</v>
      </c>
      <c r="R88" s="194">
        <v>17.5</v>
      </c>
      <c r="T88" s="187" t="s">
        <v>558</v>
      </c>
      <c r="U88" s="188"/>
      <c r="V88" s="188"/>
      <c r="W88" s="201"/>
      <c r="X88" s="194">
        <v>3</v>
      </c>
      <c r="Z88" s="208" t="str">
        <f t="shared" si="0"/>
        <v/>
      </c>
      <c r="AA88" s="209"/>
      <c r="AB88" s="210"/>
      <c r="AC88" s="208" t="str">
        <f t="shared" si="1"/>
        <v/>
      </c>
      <c r="AD88" s="229" t="str">
        <f t="shared" si="2"/>
        <v/>
      </c>
    </row>
    <row r="89" spans="2:30" x14ac:dyDescent="0.25">
      <c r="B89" s="187" t="s">
        <v>620</v>
      </c>
      <c r="C89" s="188"/>
      <c r="D89" s="188"/>
      <c r="E89" s="197" t="s">
        <v>510</v>
      </c>
      <c r="F89" s="194">
        <v>20</v>
      </c>
      <c r="K89" s="158"/>
      <c r="L89" s="158"/>
      <c r="N89" s="187" t="s">
        <v>650</v>
      </c>
      <c r="O89" s="188"/>
      <c r="P89" s="188"/>
      <c r="Q89" s="194" t="s">
        <v>679</v>
      </c>
      <c r="R89" s="194">
        <v>10</v>
      </c>
      <c r="T89" s="187" t="s">
        <v>559</v>
      </c>
      <c r="U89" s="188"/>
      <c r="V89" s="188"/>
      <c r="W89" s="201"/>
      <c r="X89" s="194">
        <v>1</v>
      </c>
      <c r="Z89" s="208" t="str">
        <f t="shared" si="0"/>
        <v/>
      </c>
      <c r="AA89" s="209"/>
      <c r="AB89" s="210"/>
      <c r="AC89" s="208" t="str">
        <f t="shared" si="1"/>
        <v/>
      </c>
      <c r="AD89" s="229" t="str">
        <f t="shared" si="2"/>
        <v/>
      </c>
    </row>
    <row r="90" spans="2:30" x14ac:dyDescent="0.25">
      <c r="B90" s="187" t="s">
        <v>621</v>
      </c>
      <c r="C90" s="188"/>
      <c r="D90" s="188"/>
      <c r="E90" s="197" t="s">
        <v>511</v>
      </c>
      <c r="F90" s="194">
        <v>75</v>
      </c>
      <c r="K90" s="158"/>
      <c r="L90" s="158"/>
      <c r="N90" s="187" t="s">
        <v>519</v>
      </c>
      <c r="O90" s="188"/>
      <c r="P90" s="188"/>
      <c r="Q90" s="218" t="s">
        <v>837</v>
      </c>
      <c r="R90" s="194">
        <v>10</v>
      </c>
      <c r="T90" s="187" t="s">
        <v>560</v>
      </c>
      <c r="U90" s="188"/>
      <c r="V90" s="188"/>
      <c r="W90" s="201"/>
      <c r="X90" s="194">
        <v>3</v>
      </c>
      <c r="Z90" s="208" t="str">
        <f t="shared" si="0"/>
        <v/>
      </c>
      <c r="AA90" s="209"/>
      <c r="AB90" s="210"/>
      <c r="AC90" s="208" t="str">
        <f t="shared" si="1"/>
        <v/>
      </c>
      <c r="AD90" s="229" t="str">
        <f t="shared" si="2"/>
        <v/>
      </c>
    </row>
    <row r="91" spans="2:30" x14ac:dyDescent="0.25">
      <c r="B91" s="187" t="s">
        <v>622</v>
      </c>
      <c r="C91" s="188"/>
      <c r="D91" s="188"/>
      <c r="E91" s="197" t="s">
        <v>510</v>
      </c>
      <c r="F91" s="194">
        <v>20</v>
      </c>
      <c r="K91" s="158"/>
      <c r="L91" s="158"/>
      <c r="N91" s="187" t="s">
        <v>651</v>
      </c>
      <c r="O91" s="188"/>
      <c r="P91" s="188"/>
      <c r="Q91" s="194" t="s">
        <v>512</v>
      </c>
      <c r="R91" s="194"/>
      <c r="T91" s="187" t="s">
        <v>577</v>
      </c>
      <c r="U91" s="188"/>
      <c r="V91" s="188"/>
      <c r="W91" s="201"/>
      <c r="X91" s="194">
        <v>6</v>
      </c>
      <c r="Z91" s="208" t="str">
        <f t="shared" si="0"/>
        <v/>
      </c>
      <c r="AA91" s="209"/>
      <c r="AB91" s="210"/>
      <c r="AC91" s="208" t="str">
        <f t="shared" si="1"/>
        <v/>
      </c>
      <c r="AD91" s="229" t="str">
        <f t="shared" si="2"/>
        <v/>
      </c>
    </row>
    <row r="92" spans="2:30" x14ac:dyDescent="0.25">
      <c r="B92" s="187" t="s">
        <v>623</v>
      </c>
      <c r="C92" s="188"/>
      <c r="D92" s="188"/>
      <c r="E92" s="197" t="s">
        <v>511</v>
      </c>
      <c r="F92" s="194">
        <v>75</v>
      </c>
      <c r="K92" s="158" t="s">
        <v>527</v>
      </c>
      <c r="L92" s="158" t="s">
        <v>527</v>
      </c>
      <c r="N92" s="187" t="s">
        <v>652</v>
      </c>
      <c r="O92" s="188"/>
      <c r="P92" s="188"/>
      <c r="Q92" s="218" t="s">
        <v>837</v>
      </c>
      <c r="R92" s="194">
        <v>10</v>
      </c>
      <c r="T92" s="187" t="s">
        <v>562</v>
      </c>
      <c r="U92" s="188"/>
      <c r="V92" s="188"/>
      <c r="W92" s="201"/>
      <c r="X92" s="194">
        <v>3</v>
      </c>
      <c r="Z92" s="208" t="str">
        <f t="shared" si="0"/>
        <v/>
      </c>
      <c r="AA92" s="209"/>
      <c r="AB92" s="210"/>
      <c r="AC92" s="208" t="str">
        <f t="shared" si="1"/>
        <v/>
      </c>
      <c r="AD92" s="229" t="str">
        <f t="shared" si="2"/>
        <v/>
      </c>
    </row>
    <row r="93" spans="2:30" x14ac:dyDescent="0.25">
      <c r="B93" s="187" t="s">
        <v>624</v>
      </c>
      <c r="C93" s="188"/>
      <c r="D93" s="188"/>
      <c r="E93" s="197" t="s">
        <v>510</v>
      </c>
      <c r="F93" s="194">
        <v>20</v>
      </c>
      <c r="K93" s="158" t="s">
        <v>527</v>
      </c>
      <c r="L93" s="158" t="s">
        <v>527</v>
      </c>
      <c r="N93" s="187" t="s">
        <v>588</v>
      </c>
      <c r="O93" s="188"/>
      <c r="P93" s="188"/>
      <c r="Q93" s="194" t="s">
        <v>512</v>
      </c>
      <c r="R93" s="194"/>
      <c r="T93" s="187" t="s">
        <v>563</v>
      </c>
      <c r="U93" s="188"/>
      <c r="V93" s="188"/>
      <c r="W93" s="201"/>
      <c r="X93" s="194">
        <v>5</v>
      </c>
      <c r="Z93" s="208" t="str">
        <f t="shared" si="0"/>
        <v/>
      </c>
      <c r="AA93" s="209"/>
      <c r="AB93" s="210"/>
      <c r="AC93" s="208" t="str">
        <f t="shared" si="1"/>
        <v/>
      </c>
      <c r="AD93" s="229" t="str">
        <f t="shared" si="2"/>
        <v/>
      </c>
    </row>
    <row r="94" spans="2:30" x14ac:dyDescent="0.25">
      <c r="B94" s="187" t="s">
        <v>636</v>
      </c>
      <c r="C94" s="188"/>
      <c r="D94" s="188"/>
      <c r="E94" s="197" t="s">
        <v>511</v>
      </c>
      <c r="F94" s="194">
        <v>75</v>
      </c>
      <c r="K94" s="158" t="s">
        <v>527</v>
      </c>
      <c r="L94" s="158" t="s">
        <v>527</v>
      </c>
      <c r="N94" s="187" t="s">
        <v>653</v>
      </c>
      <c r="O94" s="188"/>
      <c r="P94" s="188"/>
      <c r="Q94" s="218" t="s">
        <v>837</v>
      </c>
      <c r="R94" s="194">
        <v>20</v>
      </c>
      <c r="T94" s="187" t="s">
        <v>566</v>
      </c>
      <c r="U94" s="188"/>
      <c r="V94" s="188"/>
      <c r="W94" s="201"/>
      <c r="X94" s="194">
        <v>1</v>
      </c>
      <c r="Z94" s="208" t="str">
        <f t="shared" si="0"/>
        <v/>
      </c>
      <c r="AA94" s="209"/>
      <c r="AB94" s="210"/>
      <c r="AC94" s="208" t="str">
        <f t="shared" si="1"/>
        <v/>
      </c>
      <c r="AD94" s="229" t="str">
        <f t="shared" si="2"/>
        <v/>
      </c>
    </row>
    <row r="95" spans="2:30" x14ac:dyDescent="0.25">
      <c r="B95" s="187" t="s">
        <v>637</v>
      </c>
      <c r="C95" s="188"/>
      <c r="D95" s="188"/>
      <c r="E95" s="197" t="s">
        <v>510</v>
      </c>
      <c r="F95" s="194">
        <v>20</v>
      </c>
      <c r="H95" s="132" t="s">
        <v>527</v>
      </c>
      <c r="K95" s="158" t="s">
        <v>527</v>
      </c>
      <c r="L95" s="158" t="s">
        <v>527</v>
      </c>
      <c r="N95" s="187" t="s">
        <v>654</v>
      </c>
      <c r="O95" s="188"/>
      <c r="P95" s="188"/>
      <c r="Q95" s="218" t="s">
        <v>837</v>
      </c>
      <c r="R95" s="194">
        <v>10</v>
      </c>
      <c r="T95" s="187" t="s">
        <v>565</v>
      </c>
      <c r="U95" s="188"/>
      <c r="V95" s="188"/>
      <c r="W95" s="201"/>
      <c r="X95" s="194">
        <v>5</v>
      </c>
      <c r="Z95" s="208" t="str">
        <f t="shared" si="0"/>
        <v/>
      </c>
      <c r="AA95" s="209"/>
      <c r="AB95" s="210"/>
      <c r="AC95" s="208" t="str">
        <f t="shared" si="1"/>
        <v/>
      </c>
      <c r="AD95" s="229" t="str">
        <f t="shared" si="2"/>
        <v/>
      </c>
    </row>
    <row r="96" spans="2:30" x14ac:dyDescent="0.25">
      <c r="B96" s="187" t="s">
        <v>638</v>
      </c>
      <c r="C96" s="188"/>
      <c r="D96" s="188"/>
      <c r="E96" s="197" t="s">
        <v>511</v>
      </c>
      <c r="F96" s="194">
        <v>75</v>
      </c>
      <c r="H96" s="132" t="s">
        <v>527</v>
      </c>
      <c r="K96" s="158" t="s">
        <v>527</v>
      </c>
      <c r="L96" s="158" t="s">
        <v>527</v>
      </c>
      <c r="N96" s="187" t="s">
        <v>655</v>
      </c>
      <c r="O96" s="188"/>
      <c r="P96" s="188"/>
      <c r="Q96" s="218" t="s">
        <v>837</v>
      </c>
      <c r="R96" s="194">
        <v>10</v>
      </c>
      <c r="T96" s="187" t="s">
        <v>567</v>
      </c>
      <c r="U96" s="188"/>
      <c r="V96" s="188"/>
      <c r="W96" s="201"/>
      <c r="X96" s="194">
        <v>3</v>
      </c>
      <c r="Z96" s="208" t="str">
        <f t="shared" si="0"/>
        <v/>
      </c>
      <c r="AA96" s="209"/>
      <c r="AB96" s="210"/>
      <c r="AC96" s="208" t="str">
        <f t="shared" si="1"/>
        <v/>
      </c>
      <c r="AD96" s="229" t="str">
        <f t="shared" si="2"/>
        <v/>
      </c>
    </row>
    <row r="97" spans="2:30" x14ac:dyDescent="0.25">
      <c r="B97" s="187" t="s">
        <v>611</v>
      </c>
      <c r="C97" s="188"/>
      <c r="D97" s="188"/>
      <c r="E97" s="197" t="s">
        <v>512</v>
      </c>
      <c r="F97" s="194" t="s">
        <v>512</v>
      </c>
      <c r="H97" s="132" t="s">
        <v>527</v>
      </c>
      <c r="K97" s="158" t="s">
        <v>527</v>
      </c>
      <c r="L97" s="158" t="s">
        <v>527</v>
      </c>
      <c r="N97" s="187" t="s">
        <v>656</v>
      </c>
      <c r="O97" s="188"/>
      <c r="P97" s="188"/>
      <c r="Q97" s="218" t="s">
        <v>837</v>
      </c>
      <c r="R97" s="194">
        <v>10</v>
      </c>
      <c r="T97" s="187" t="s">
        <v>568</v>
      </c>
      <c r="U97" s="188"/>
      <c r="V97" s="188"/>
      <c r="W97" s="201"/>
      <c r="X97" s="194">
        <v>1</v>
      </c>
      <c r="Z97" s="208" t="str">
        <f t="shared" si="0"/>
        <v/>
      </c>
      <c r="AA97" s="209"/>
      <c r="AB97" s="210"/>
      <c r="AC97" s="208" t="str">
        <f t="shared" si="1"/>
        <v/>
      </c>
      <c r="AD97" s="229" t="str">
        <f t="shared" si="2"/>
        <v/>
      </c>
    </row>
    <row r="98" spans="2:30" x14ac:dyDescent="0.25">
      <c r="B98" s="187" t="s">
        <v>612</v>
      </c>
      <c r="C98" s="188"/>
      <c r="D98" s="188"/>
      <c r="E98" s="197" t="s">
        <v>512</v>
      </c>
      <c r="F98" s="194" t="s">
        <v>512</v>
      </c>
      <c r="H98" s="132" t="s">
        <v>527</v>
      </c>
      <c r="K98" s="158" t="s">
        <v>527</v>
      </c>
      <c r="L98" s="158" t="s">
        <v>527</v>
      </c>
      <c r="N98" s="187" t="s">
        <v>659</v>
      </c>
      <c r="O98" s="188"/>
      <c r="P98" s="188"/>
      <c r="Q98" s="218" t="s">
        <v>837</v>
      </c>
      <c r="R98" s="194">
        <v>10</v>
      </c>
      <c r="T98" s="187" t="s">
        <v>569</v>
      </c>
      <c r="U98" s="188"/>
      <c r="V98" s="188"/>
      <c r="W98" s="201"/>
      <c r="X98" s="194">
        <v>3</v>
      </c>
      <c r="Z98" s="208" t="str">
        <f t="shared" si="0"/>
        <v/>
      </c>
      <c r="AA98" s="209"/>
      <c r="AB98" s="210"/>
      <c r="AC98" s="208" t="str">
        <f t="shared" si="1"/>
        <v/>
      </c>
      <c r="AD98" s="229" t="str">
        <f t="shared" si="2"/>
        <v/>
      </c>
    </row>
    <row r="99" spans="2:30" x14ac:dyDescent="0.25">
      <c r="B99" s="107" t="s">
        <v>613</v>
      </c>
      <c r="C99" s="190"/>
      <c r="D99" s="190"/>
      <c r="E99" s="198" t="s">
        <v>512</v>
      </c>
      <c r="F99" s="195" t="s">
        <v>512</v>
      </c>
      <c r="H99" s="132" t="s">
        <v>527</v>
      </c>
      <c r="K99" s="158" t="s">
        <v>527</v>
      </c>
      <c r="L99" s="158" t="s">
        <v>527</v>
      </c>
      <c r="N99" s="187" t="s">
        <v>657</v>
      </c>
      <c r="O99" s="188"/>
      <c r="P99" s="188"/>
      <c r="Q99" s="218" t="s">
        <v>837</v>
      </c>
      <c r="R99" s="194">
        <v>10</v>
      </c>
      <c r="T99" s="187" t="s">
        <v>570</v>
      </c>
      <c r="U99" s="188"/>
      <c r="V99" s="201"/>
      <c r="W99" s="201"/>
      <c r="X99" s="194">
        <v>2</v>
      </c>
      <c r="Z99" s="208" t="str">
        <f t="shared" si="0"/>
        <v/>
      </c>
      <c r="AA99" s="209"/>
      <c r="AB99" s="210"/>
      <c r="AC99" s="208" t="str">
        <f t="shared" si="1"/>
        <v/>
      </c>
      <c r="AD99" s="229" t="str">
        <f t="shared" si="2"/>
        <v/>
      </c>
    </row>
    <row r="100" spans="2:30" x14ac:dyDescent="0.25">
      <c r="B100" s="132" t="s">
        <v>527</v>
      </c>
      <c r="E100" s="132" t="s">
        <v>527</v>
      </c>
      <c r="F100" s="132" t="s">
        <v>527</v>
      </c>
      <c r="H100" s="132" t="s">
        <v>527</v>
      </c>
      <c r="K100" s="158" t="s">
        <v>527</v>
      </c>
      <c r="L100" s="158" t="s">
        <v>527</v>
      </c>
      <c r="N100" s="187" t="s">
        <v>658</v>
      </c>
      <c r="O100" s="188"/>
      <c r="P100" s="188"/>
      <c r="Q100" s="194" t="s">
        <v>672</v>
      </c>
      <c r="R100" s="194">
        <v>10</v>
      </c>
      <c r="T100" s="187" t="s">
        <v>571</v>
      </c>
      <c r="U100" s="188"/>
      <c r="V100" s="201"/>
      <c r="W100" s="201"/>
      <c r="X100" s="194">
        <v>4</v>
      </c>
      <c r="Z100" s="208" t="str">
        <f t="shared" si="0"/>
        <v/>
      </c>
      <c r="AA100" s="209"/>
      <c r="AB100" s="210"/>
      <c r="AC100" s="208" t="str">
        <f t="shared" si="1"/>
        <v/>
      </c>
      <c r="AD100" s="229" t="str">
        <f t="shared" si="2"/>
        <v/>
      </c>
    </row>
    <row r="101" spans="2:30" x14ac:dyDescent="0.25">
      <c r="B101" s="132" t="s">
        <v>527</v>
      </c>
      <c r="E101" s="132" t="s">
        <v>527</v>
      </c>
      <c r="F101" s="132" t="s">
        <v>527</v>
      </c>
      <c r="H101" s="132" t="s">
        <v>527</v>
      </c>
      <c r="K101" s="158" t="s">
        <v>527</v>
      </c>
      <c r="L101" s="158" t="s">
        <v>527</v>
      </c>
      <c r="N101" s="187" t="s">
        <v>660</v>
      </c>
      <c r="O101" s="188"/>
      <c r="P101" s="188"/>
      <c r="Q101" s="218" t="s">
        <v>837</v>
      </c>
      <c r="R101" s="194">
        <v>5</v>
      </c>
      <c r="T101" s="187" t="s">
        <v>564</v>
      </c>
      <c r="U101" s="188"/>
      <c r="V101" s="188"/>
      <c r="W101" s="201"/>
      <c r="X101" s="194">
        <v>4</v>
      </c>
      <c r="Z101" s="208" t="str">
        <f t="shared" si="0"/>
        <v/>
      </c>
      <c r="AA101" s="209"/>
      <c r="AB101" s="210"/>
      <c r="AC101" s="208" t="str">
        <f t="shared" si="1"/>
        <v/>
      </c>
      <c r="AD101" s="229" t="str">
        <f t="shared" si="2"/>
        <v/>
      </c>
    </row>
    <row r="102" spans="2:30" x14ac:dyDescent="0.25">
      <c r="B102" s="132" t="s">
        <v>527</v>
      </c>
      <c r="E102" s="132" t="s">
        <v>527</v>
      </c>
      <c r="F102" s="132" t="s">
        <v>527</v>
      </c>
      <c r="H102" s="132" t="s">
        <v>527</v>
      </c>
      <c r="K102" s="158" t="s">
        <v>527</v>
      </c>
      <c r="L102" s="158" t="s">
        <v>527</v>
      </c>
      <c r="N102" s="187" t="s">
        <v>515</v>
      </c>
      <c r="O102" s="188"/>
      <c r="P102" s="188"/>
      <c r="Q102" s="218" t="s">
        <v>837</v>
      </c>
      <c r="R102" s="194">
        <v>10</v>
      </c>
      <c r="T102" s="187" t="s">
        <v>572</v>
      </c>
      <c r="U102" s="188"/>
      <c r="V102" s="201"/>
      <c r="W102" s="201"/>
      <c r="X102" s="194">
        <v>6</v>
      </c>
      <c r="Z102" s="208" t="str">
        <f t="shared" si="0"/>
        <v/>
      </c>
      <c r="AA102" s="209"/>
      <c r="AB102" s="210"/>
      <c r="AC102" s="208" t="str">
        <f t="shared" si="1"/>
        <v/>
      </c>
      <c r="AD102" s="229" t="str">
        <f t="shared" si="2"/>
        <v/>
      </c>
    </row>
    <row r="103" spans="2:30" x14ac:dyDescent="0.25">
      <c r="B103" s="132" t="s">
        <v>527</v>
      </c>
      <c r="E103" s="132" t="s">
        <v>527</v>
      </c>
      <c r="F103" s="132" t="s">
        <v>527</v>
      </c>
      <c r="H103" s="132" t="s">
        <v>527</v>
      </c>
      <c r="K103" s="158" t="s">
        <v>527</v>
      </c>
      <c r="L103" s="158" t="s">
        <v>527</v>
      </c>
      <c r="N103" s="187" t="s">
        <v>661</v>
      </c>
      <c r="O103" s="188"/>
      <c r="P103" s="188"/>
      <c r="Q103" s="218" t="s">
        <v>837</v>
      </c>
      <c r="R103" s="194">
        <v>10</v>
      </c>
      <c r="T103" s="187" t="s">
        <v>573</v>
      </c>
      <c r="U103" s="188"/>
      <c r="V103" s="201"/>
      <c r="W103" s="201"/>
      <c r="X103" s="194">
        <v>1</v>
      </c>
      <c r="Z103" s="208" t="str">
        <f t="shared" si="0"/>
        <v/>
      </c>
      <c r="AA103" s="209"/>
      <c r="AB103" s="210"/>
      <c r="AC103" s="208" t="str">
        <f t="shared" si="1"/>
        <v/>
      </c>
      <c r="AD103" s="229" t="str">
        <f t="shared" si="2"/>
        <v/>
      </c>
    </row>
    <row r="104" spans="2:30" x14ac:dyDescent="0.25">
      <c r="B104" s="132" t="s">
        <v>527</v>
      </c>
      <c r="E104" s="132" t="s">
        <v>527</v>
      </c>
      <c r="F104" s="132" t="s">
        <v>527</v>
      </c>
      <c r="H104" s="132" t="s">
        <v>527</v>
      </c>
      <c r="K104" s="158" t="s">
        <v>527</v>
      </c>
      <c r="L104" s="158" t="s">
        <v>527</v>
      </c>
      <c r="N104" s="187" t="s">
        <v>516</v>
      </c>
      <c r="O104" s="188"/>
      <c r="P104" s="188"/>
      <c r="Q104" s="194" t="s">
        <v>680</v>
      </c>
      <c r="R104" s="194">
        <v>3</v>
      </c>
      <c r="T104" s="187" t="s">
        <v>561</v>
      </c>
      <c r="U104" s="188"/>
      <c r="V104" s="188"/>
      <c r="W104" s="201"/>
      <c r="X104" s="194">
        <v>0</v>
      </c>
      <c r="Z104" s="208" t="str">
        <f t="shared" si="0"/>
        <v/>
      </c>
      <c r="AA104" s="209"/>
      <c r="AB104" s="210"/>
      <c r="AC104" s="208" t="str">
        <f t="shared" si="1"/>
        <v/>
      </c>
      <c r="AD104" s="229" t="str">
        <f t="shared" si="2"/>
        <v/>
      </c>
    </row>
    <row r="105" spans="2:30" x14ac:dyDescent="0.25">
      <c r="B105" s="132" t="s">
        <v>527</v>
      </c>
      <c r="E105" s="132" t="s">
        <v>527</v>
      </c>
      <c r="F105" s="132" t="s">
        <v>527</v>
      </c>
      <c r="H105" s="132" t="s">
        <v>527</v>
      </c>
      <c r="K105" s="158" t="s">
        <v>527</v>
      </c>
      <c r="L105" s="158" t="s">
        <v>527</v>
      </c>
      <c r="N105" s="187" t="s">
        <v>681</v>
      </c>
      <c r="O105" s="188"/>
      <c r="P105" s="188"/>
      <c r="Q105" s="194" t="s">
        <v>682</v>
      </c>
      <c r="R105" s="194" t="s">
        <v>683</v>
      </c>
      <c r="T105" s="187" t="s">
        <v>574</v>
      </c>
      <c r="U105" s="188"/>
      <c r="V105" s="188"/>
      <c r="W105" s="201"/>
      <c r="X105" s="194">
        <v>3</v>
      </c>
      <c r="Z105" s="208" t="str">
        <f t="shared" si="0"/>
        <v/>
      </c>
      <c r="AA105" s="209"/>
      <c r="AB105" s="210"/>
      <c r="AC105" s="208" t="str">
        <f t="shared" si="1"/>
        <v/>
      </c>
      <c r="AD105" s="229" t="str">
        <f t="shared" si="2"/>
        <v/>
      </c>
    </row>
    <row r="106" spans="2:30" x14ac:dyDescent="0.25">
      <c r="B106" s="132" t="s">
        <v>527</v>
      </c>
      <c r="E106" s="132" t="s">
        <v>527</v>
      </c>
      <c r="F106" s="132" t="s">
        <v>527</v>
      </c>
      <c r="H106" s="132" t="s">
        <v>527</v>
      </c>
      <c r="K106" s="158" t="s">
        <v>527</v>
      </c>
      <c r="L106" s="158" t="s">
        <v>527</v>
      </c>
      <c r="N106" s="187" t="s">
        <v>662</v>
      </c>
      <c r="O106" s="188"/>
      <c r="P106" s="188"/>
      <c r="Q106" s="218" t="s">
        <v>837</v>
      </c>
      <c r="R106" s="194">
        <v>10</v>
      </c>
      <c r="T106" s="187" t="s">
        <v>575</v>
      </c>
      <c r="U106" s="188"/>
      <c r="V106" s="188"/>
      <c r="W106" s="201"/>
      <c r="X106" s="194">
        <v>4</v>
      </c>
      <c r="Z106" s="208" t="str">
        <f t="shared" si="0"/>
        <v/>
      </c>
      <c r="AA106" s="209"/>
      <c r="AB106" s="210"/>
      <c r="AC106" s="208" t="str">
        <f t="shared" si="1"/>
        <v/>
      </c>
      <c r="AD106" s="229" t="str">
        <f t="shared" si="2"/>
        <v/>
      </c>
    </row>
    <row r="107" spans="2:30" x14ac:dyDescent="0.25">
      <c r="B107" s="132" t="s">
        <v>527</v>
      </c>
      <c r="E107" s="132" t="s">
        <v>527</v>
      </c>
      <c r="F107" s="132" t="s">
        <v>527</v>
      </c>
      <c r="H107" s="132" t="s">
        <v>527</v>
      </c>
      <c r="K107" s="158" t="s">
        <v>527</v>
      </c>
      <c r="L107" s="158" t="s">
        <v>527</v>
      </c>
      <c r="N107" s="187" t="s">
        <v>663</v>
      </c>
      <c r="O107" s="188"/>
      <c r="P107" s="188"/>
      <c r="Q107" s="194" t="s">
        <v>512</v>
      </c>
      <c r="R107" s="194"/>
      <c r="T107" s="187" t="s">
        <v>576</v>
      </c>
      <c r="U107" s="188"/>
      <c r="V107" s="188"/>
      <c r="W107" s="201"/>
      <c r="X107" s="194">
        <v>6</v>
      </c>
      <c r="Z107" s="208" t="str">
        <f t="shared" si="0"/>
        <v/>
      </c>
      <c r="AA107" s="209"/>
      <c r="AB107" s="210"/>
      <c r="AC107" s="208" t="str">
        <f t="shared" si="1"/>
        <v/>
      </c>
      <c r="AD107" s="229" t="str">
        <f t="shared" si="2"/>
        <v/>
      </c>
    </row>
    <row r="108" spans="2:30" x14ac:dyDescent="0.25">
      <c r="B108" s="132" t="s">
        <v>527</v>
      </c>
      <c r="E108" s="132" t="s">
        <v>527</v>
      </c>
      <c r="F108" s="132" t="s">
        <v>527</v>
      </c>
      <c r="H108" s="132" t="s">
        <v>527</v>
      </c>
      <c r="K108" s="158" t="s">
        <v>527</v>
      </c>
      <c r="L108" s="158" t="s">
        <v>527</v>
      </c>
      <c r="N108" s="187" t="s">
        <v>664</v>
      </c>
      <c r="O108" s="188"/>
      <c r="P108" s="188"/>
      <c r="Q108" s="194" t="s">
        <v>512</v>
      </c>
      <c r="R108" s="194"/>
      <c r="T108" s="107"/>
      <c r="U108" s="190"/>
      <c r="V108" s="190"/>
      <c r="W108" s="202"/>
      <c r="X108" s="195"/>
      <c r="Z108" s="208" t="str">
        <f t="shared" si="0"/>
        <v/>
      </c>
      <c r="AA108" s="209"/>
      <c r="AB108" s="210"/>
      <c r="AC108" s="208" t="str">
        <f t="shared" si="1"/>
        <v/>
      </c>
      <c r="AD108" s="229" t="str">
        <f t="shared" si="2"/>
        <v/>
      </c>
    </row>
    <row r="109" spans="2:30" x14ac:dyDescent="0.25">
      <c r="B109" s="132" t="s">
        <v>527</v>
      </c>
      <c r="E109" s="132" t="s">
        <v>527</v>
      </c>
      <c r="F109" s="132" t="s">
        <v>527</v>
      </c>
      <c r="H109" s="132" t="s">
        <v>527</v>
      </c>
      <c r="K109" s="158" t="s">
        <v>527</v>
      </c>
      <c r="L109" s="158" t="s">
        <v>527</v>
      </c>
      <c r="N109" s="187" t="s">
        <v>665</v>
      </c>
      <c r="O109" s="188"/>
      <c r="P109" s="188"/>
      <c r="Q109" s="194" t="s">
        <v>512</v>
      </c>
      <c r="R109" s="194"/>
      <c r="W109" s="158"/>
      <c r="Z109" s="208" t="str">
        <f t="shared" si="0"/>
        <v/>
      </c>
      <c r="AA109" s="209"/>
      <c r="AB109" s="210"/>
      <c r="AC109" s="208" t="str">
        <f t="shared" si="1"/>
        <v/>
      </c>
      <c r="AD109" s="229" t="str">
        <f t="shared" si="2"/>
        <v/>
      </c>
    </row>
    <row r="110" spans="2:30" x14ac:dyDescent="0.25">
      <c r="B110" s="132" t="s">
        <v>527</v>
      </c>
      <c r="E110" s="132" t="s">
        <v>527</v>
      </c>
      <c r="F110" s="132" t="s">
        <v>527</v>
      </c>
      <c r="H110" s="132" t="s">
        <v>527</v>
      </c>
      <c r="K110" s="158" t="s">
        <v>527</v>
      </c>
      <c r="L110" s="158" t="s">
        <v>527</v>
      </c>
      <c r="N110" s="187" t="s">
        <v>666</v>
      </c>
      <c r="O110" s="188"/>
      <c r="P110" s="188"/>
      <c r="Q110" s="218" t="s">
        <v>837</v>
      </c>
      <c r="R110" s="194">
        <v>10</v>
      </c>
      <c r="W110" s="158"/>
      <c r="Z110" s="208" t="str">
        <f t="shared" si="0"/>
        <v/>
      </c>
      <c r="AA110" s="209"/>
      <c r="AB110" s="210"/>
      <c r="AC110" s="208" t="str">
        <f t="shared" si="1"/>
        <v/>
      </c>
      <c r="AD110" s="229" t="str">
        <f t="shared" si="2"/>
        <v/>
      </c>
    </row>
    <row r="111" spans="2:30" x14ac:dyDescent="0.25">
      <c r="B111" s="132" t="s">
        <v>527</v>
      </c>
      <c r="E111" s="132" t="s">
        <v>527</v>
      </c>
      <c r="F111" s="132" t="s">
        <v>527</v>
      </c>
      <c r="H111" s="132" t="s">
        <v>527</v>
      </c>
      <c r="K111" s="158" t="s">
        <v>527</v>
      </c>
      <c r="L111" s="158" t="s">
        <v>527</v>
      </c>
      <c r="N111" s="187" t="s">
        <v>690</v>
      </c>
      <c r="O111" s="188"/>
      <c r="P111" s="188"/>
      <c r="Q111" s="194" t="s">
        <v>685</v>
      </c>
      <c r="R111" s="194">
        <v>10</v>
      </c>
      <c r="W111" s="158"/>
      <c r="Z111" s="208" t="str">
        <f t="shared" si="0"/>
        <v/>
      </c>
      <c r="AA111" s="209"/>
      <c r="AB111" s="210"/>
      <c r="AC111" s="208" t="str">
        <f t="shared" si="1"/>
        <v/>
      </c>
      <c r="AD111" s="229" t="str">
        <f t="shared" si="2"/>
        <v/>
      </c>
    </row>
    <row r="112" spans="2:30" x14ac:dyDescent="0.25">
      <c r="B112" s="132" t="s">
        <v>527</v>
      </c>
      <c r="E112" s="132" t="s">
        <v>527</v>
      </c>
      <c r="F112" s="132" t="s">
        <v>527</v>
      </c>
      <c r="H112" s="132" t="s">
        <v>527</v>
      </c>
      <c r="K112" s="158" t="s">
        <v>527</v>
      </c>
      <c r="L112" s="158" t="s">
        <v>527</v>
      </c>
      <c r="N112" s="187" t="s">
        <v>691</v>
      </c>
      <c r="O112" s="188"/>
      <c r="P112" s="188"/>
      <c r="Q112" s="194" t="s">
        <v>686</v>
      </c>
      <c r="R112" s="194" t="s">
        <v>687</v>
      </c>
      <c r="W112" s="158"/>
      <c r="Z112" s="208" t="str">
        <f t="shared" si="0"/>
        <v/>
      </c>
      <c r="AA112" s="209"/>
      <c r="AB112" s="210"/>
      <c r="AC112" s="208" t="str">
        <f t="shared" si="1"/>
        <v/>
      </c>
      <c r="AD112" s="229" t="str">
        <f t="shared" si="2"/>
        <v/>
      </c>
    </row>
    <row r="113" spans="11:30" x14ac:dyDescent="0.25">
      <c r="K113" s="158"/>
      <c r="L113" s="158"/>
      <c r="N113" s="187" t="s">
        <v>265</v>
      </c>
      <c r="O113" s="188"/>
      <c r="P113" s="188"/>
      <c r="Q113" s="194" t="s">
        <v>672</v>
      </c>
      <c r="R113" s="194">
        <v>10</v>
      </c>
      <c r="W113" s="158"/>
      <c r="Z113" s="208" t="str">
        <f t="shared" si="0"/>
        <v/>
      </c>
      <c r="AA113" s="209"/>
      <c r="AB113" s="210"/>
      <c r="AC113" s="208" t="str">
        <f t="shared" ref="AC113:AC130" si="3">IF($AE$3=2,E113,IF($AE$3=1,"",Q113))</f>
        <v/>
      </c>
      <c r="AD113" s="229" t="str">
        <f t="shared" ref="AD113:AD130" si="4">IF($AE$3=2,F113,IF($AE$3=1,"",R113))</f>
        <v/>
      </c>
    </row>
    <row r="114" spans="11:30" x14ac:dyDescent="0.25">
      <c r="K114" s="158"/>
      <c r="L114" s="158"/>
      <c r="N114" s="187" t="s">
        <v>266</v>
      </c>
      <c r="O114" s="188"/>
      <c r="P114" s="188"/>
      <c r="Q114" s="194" t="s">
        <v>672</v>
      </c>
      <c r="R114" s="194">
        <v>15</v>
      </c>
      <c r="W114" s="158"/>
      <c r="Z114" s="208" t="str">
        <f t="shared" si="0"/>
        <v/>
      </c>
      <c r="AA114" s="209"/>
      <c r="AB114" s="210"/>
      <c r="AC114" s="208" t="str">
        <f t="shared" si="3"/>
        <v/>
      </c>
      <c r="AD114" s="229" t="str">
        <f t="shared" si="4"/>
        <v/>
      </c>
    </row>
    <row r="115" spans="11:30" x14ac:dyDescent="0.25">
      <c r="K115" s="158"/>
      <c r="L115" s="158"/>
      <c r="N115" s="187" t="s">
        <v>267</v>
      </c>
      <c r="O115" s="188"/>
      <c r="P115" s="188"/>
      <c r="Q115" s="219" t="s">
        <v>841</v>
      </c>
      <c r="R115" s="194" t="s">
        <v>684</v>
      </c>
      <c r="W115" s="158"/>
      <c r="Z115" s="208" t="str">
        <f t="shared" si="0"/>
        <v/>
      </c>
      <c r="AA115" s="209"/>
      <c r="AB115" s="210"/>
      <c r="AC115" s="208" t="str">
        <f t="shared" si="3"/>
        <v/>
      </c>
      <c r="AD115" s="229" t="str">
        <f t="shared" si="4"/>
        <v/>
      </c>
    </row>
    <row r="116" spans="11:30" x14ac:dyDescent="0.25">
      <c r="K116" s="158"/>
      <c r="L116" s="158"/>
      <c r="N116" s="187" t="s">
        <v>258</v>
      </c>
      <c r="O116" s="188"/>
      <c r="P116" s="188"/>
      <c r="Q116" s="194" t="s">
        <v>512</v>
      </c>
      <c r="R116" s="194"/>
      <c r="W116" s="158"/>
      <c r="Z116" s="208" t="str">
        <f t="shared" si="0"/>
        <v/>
      </c>
      <c r="AA116" s="209"/>
      <c r="AB116" s="210"/>
      <c r="AC116" s="208" t="str">
        <f t="shared" si="3"/>
        <v/>
      </c>
      <c r="AD116" s="229" t="str">
        <f t="shared" si="4"/>
        <v/>
      </c>
    </row>
    <row r="117" spans="11:30" x14ac:dyDescent="0.25">
      <c r="K117" s="158"/>
      <c r="L117" s="158"/>
      <c r="N117" s="187" t="s">
        <v>268</v>
      </c>
      <c r="O117" s="188"/>
      <c r="P117" s="188"/>
      <c r="Q117" s="194" t="s">
        <v>672</v>
      </c>
      <c r="R117" s="194">
        <v>10</v>
      </c>
      <c r="W117" s="158"/>
      <c r="Z117" s="208" t="str">
        <f t="shared" si="0"/>
        <v/>
      </c>
      <c r="AA117" s="209"/>
      <c r="AB117" s="210"/>
      <c r="AC117" s="208" t="str">
        <f t="shared" si="3"/>
        <v/>
      </c>
      <c r="AD117" s="229" t="str">
        <f t="shared" si="4"/>
        <v/>
      </c>
    </row>
    <row r="118" spans="11:30" x14ac:dyDescent="0.25">
      <c r="K118" s="158"/>
      <c r="L118" s="158"/>
      <c r="N118" s="187" t="s">
        <v>269</v>
      </c>
      <c r="O118" s="188"/>
      <c r="P118" s="188"/>
      <c r="Q118" s="194" t="s">
        <v>672</v>
      </c>
      <c r="R118" s="194">
        <v>15</v>
      </c>
      <c r="W118" s="158"/>
      <c r="Z118" s="208" t="str">
        <f t="shared" si="0"/>
        <v/>
      </c>
      <c r="AA118" s="209"/>
      <c r="AB118" s="210"/>
      <c r="AC118" s="208" t="str">
        <f t="shared" si="3"/>
        <v/>
      </c>
      <c r="AD118" s="229" t="str">
        <f t="shared" si="4"/>
        <v/>
      </c>
    </row>
    <row r="119" spans="11:30" x14ac:dyDescent="0.25">
      <c r="K119" s="158"/>
      <c r="L119" s="158"/>
      <c r="N119" s="187" t="s">
        <v>270</v>
      </c>
      <c r="O119" s="188"/>
      <c r="P119" s="188"/>
      <c r="Q119" s="219" t="s">
        <v>841</v>
      </c>
      <c r="R119" s="194" t="s">
        <v>684</v>
      </c>
      <c r="W119" s="158"/>
      <c r="Z119" s="208" t="str">
        <f t="shared" si="0"/>
        <v/>
      </c>
      <c r="AA119" s="209"/>
      <c r="AB119" s="210"/>
      <c r="AC119" s="208" t="str">
        <f t="shared" si="3"/>
        <v/>
      </c>
      <c r="AD119" s="229" t="str">
        <f t="shared" si="4"/>
        <v/>
      </c>
    </row>
    <row r="120" spans="11:30" x14ac:dyDescent="0.25">
      <c r="K120" s="158"/>
      <c r="L120" s="158"/>
      <c r="N120" s="187" t="s">
        <v>259</v>
      </c>
      <c r="O120" s="188"/>
      <c r="P120" s="188"/>
      <c r="Q120" s="218" t="s">
        <v>837</v>
      </c>
      <c r="R120" s="194">
        <v>10</v>
      </c>
      <c r="W120" s="158"/>
      <c r="Z120" s="208" t="str">
        <f t="shared" si="0"/>
        <v/>
      </c>
      <c r="AA120" s="209"/>
      <c r="AB120" s="210"/>
      <c r="AC120" s="208" t="str">
        <f t="shared" si="3"/>
        <v/>
      </c>
      <c r="AD120" s="229" t="str">
        <f t="shared" si="4"/>
        <v/>
      </c>
    </row>
    <row r="121" spans="11:30" x14ac:dyDescent="0.25">
      <c r="K121" s="158"/>
      <c r="L121" s="158"/>
      <c r="N121" s="187" t="s">
        <v>260</v>
      </c>
      <c r="O121" s="188"/>
      <c r="P121" s="188"/>
      <c r="Q121" s="218" t="s">
        <v>837</v>
      </c>
      <c r="R121" s="194">
        <v>10</v>
      </c>
      <c r="W121" s="158"/>
      <c r="Z121" s="208" t="str">
        <f t="shared" si="0"/>
        <v/>
      </c>
      <c r="AA121" s="209"/>
      <c r="AB121" s="210"/>
      <c r="AC121" s="208" t="str">
        <f t="shared" si="3"/>
        <v/>
      </c>
      <c r="AD121" s="229" t="str">
        <f t="shared" si="4"/>
        <v/>
      </c>
    </row>
    <row r="122" spans="11:30" x14ac:dyDescent="0.25">
      <c r="K122" s="158"/>
      <c r="L122" s="158"/>
      <c r="N122" s="187" t="s">
        <v>271</v>
      </c>
      <c r="O122" s="188"/>
      <c r="P122" s="188"/>
      <c r="Q122" s="194" t="s">
        <v>272</v>
      </c>
      <c r="R122" s="194">
        <v>10</v>
      </c>
      <c r="W122" s="158"/>
      <c r="Z122" s="208" t="str">
        <f t="shared" si="0"/>
        <v/>
      </c>
      <c r="AA122" s="209"/>
      <c r="AB122" s="210"/>
      <c r="AC122" s="208" t="str">
        <f t="shared" si="3"/>
        <v/>
      </c>
      <c r="AD122" s="229" t="str">
        <f t="shared" si="4"/>
        <v/>
      </c>
    </row>
    <row r="123" spans="11:30" x14ac:dyDescent="0.25">
      <c r="K123" s="158"/>
      <c r="L123" s="158"/>
      <c r="N123" s="187" t="s">
        <v>273</v>
      </c>
      <c r="O123" s="188"/>
      <c r="P123" s="188"/>
      <c r="Q123" s="219" t="s">
        <v>841</v>
      </c>
      <c r="R123" s="194" t="s">
        <v>274</v>
      </c>
      <c r="W123" s="158"/>
      <c r="Z123" s="208" t="str">
        <f t="shared" si="0"/>
        <v/>
      </c>
      <c r="AA123" s="209"/>
      <c r="AB123" s="210"/>
      <c r="AC123" s="208" t="str">
        <f t="shared" si="3"/>
        <v/>
      </c>
      <c r="AD123" s="229" t="str">
        <f t="shared" si="4"/>
        <v/>
      </c>
    </row>
    <row r="124" spans="11:30" x14ac:dyDescent="0.25">
      <c r="K124" s="158"/>
      <c r="L124" s="158"/>
      <c r="N124" s="187" t="s">
        <v>275</v>
      </c>
      <c r="O124" s="188"/>
      <c r="P124" s="188"/>
      <c r="Q124" s="194" t="s">
        <v>276</v>
      </c>
      <c r="R124" s="194">
        <v>20</v>
      </c>
      <c r="W124" s="158"/>
      <c r="Z124" s="208" t="str">
        <f t="shared" si="0"/>
        <v/>
      </c>
      <c r="AA124" s="209"/>
      <c r="AB124" s="210"/>
      <c r="AC124" s="208" t="str">
        <f t="shared" si="3"/>
        <v/>
      </c>
      <c r="AD124" s="229" t="str">
        <f t="shared" si="4"/>
        <v/>
      </c>
    </row>
    <row r="125" spans="11:30" x14ac:dyDescent="0.25">
      <c r="K125" s="158"/>
      <c r="L125" s="158"/>
      <c r="N125" s="187" t="s">
        <v>277</v>
      </c>
      <c r="O125" s="188"/>
      <c r="P125" s="188"/>
      <c r="Q125" s="194" t="s">
        <v>276</v>
      </c>
      <c r="R125" s="194">
        <v>30</v>
      </c>
      <c r="W125" s="158"/>
      <c r="Z125" s="208" t="str">
        <f t="shared" si="0"/>
        <v/>
      </c>
      <c r="AA125" s="209"/>
      <c r="AB125" s="210"/>
      <c r="AC125" s="208" t="str">
        <f t="shared" si="3"/>
        <v/>
      </c>
      <c r="AD125" s="229" t="str">
        <f t="shared" si="4"/>
        <v/>
      </c>
    </row>
    <row r="126" spans="11:30" x14ac:dyDescent="0.25">
      <c r="K126" s="158"/>
      <c r="L126" s="158"/>
      <c r="N126" s="187" t="s">
        <v>278</v>
      </c>
      <c r="O126" s="188"/>
      <c r="P126" s="188"/>
      <c r="Q126" s="219" t="s">
        <v>841</v>
      </c>
      <c r="R126" s="194" t="s">
        <v>279</v>
      </c>
      <c r="W126" s="158"/>
      <c r="Z126" s="208" t="str">
        <f t="shared" si="0"/>
        <v/>
      </c>
      <c r="AA126" s="209"/>
      <c r="AB126" s="210"/>
      <c r="AC126" s="208" t="str">
        <f t="shared" si="3"/>
        <v/>
      </c>
      <c r="AD126" s="229" t="str">
        <f t="shared" si="4"/>
        <v/>
      </c>
    </row>
    <row r="127" spans="11:30" x14ac:dyDescent="0.25">
      <c r="K127" s="158"/>
      <c r="L127" s="158"/>
      <c r="N127" s="187" t="s">
        <v>261</v>
      </c>
      <c r="O127" s="188"/>
      <c r="P127" s="188"/>
      <c r="Q127" s="194" t="s">
        <v>512</v>
      </c>
      <c r="R127" s="194"/>
      <c r="W127" s="158"/>
      <c r="Z127" s="208" t="str">
        <f t="shared" si="0"/>
        <v/>
      </c>
      <c r="AA127" s="209"/>
      <c r="AB127" s="210"/>
      <c r="AC127" s="208" t="str">
        <f t="shared" si="3"/>
        <v/>
      </c>
      <c r="AD127" s="229" t="str">
        <f t="shared" si="4"/>
        <v/>
      </c>
    </row>
    <row r="128" spans="11:30" x14ac:dyDescent="0.25">
      <c r="K128" s="158"/>
      <c r="L128" s="158"/>
      <c r="N128" s="187" t="s">
        <v>262</v>
      </c>
      <c r="O128" s="188"/>
      <c r="P128" s="188"/>
      <c r="Q128" s="194" t="s">
        <v>512</v>
      </c>
      <c r="R128" s="194"/>
      <c r="W128" s="158"/>
      <c r="Z128" s="208" t="str">
        <f t="shared" si="0"/>
        <v/>
      </c>
      <c r="AA128" s="209"/>
      <c r="AB128" s="210"/>
      <c r="AC128" s="208" t="str">
        <f t="shared" si="3"/>
        <v/>
      </c>
      <c r="AD128" s="229" t="str">
        <f t="shared" si="4"/>
        <v/>
      </c>
    </row>
    <row r="129" spans="2:30" x14ac:dyDescent="0.25">
      <c r="K129" s="158"/>
      <c r="L129" s="158"/>
      <c r="N129" s="187" t="s">
        <v>263</v>
      </c>
      <c r="O129" s="188"/>
      <c r="P129" s="188"/>
      <c r="Q129" s="194" t="s">
        <v>512</v>
      </c>
      <c r="R129" s="194"/>
      <c r="W129" s="158"/>
      <c r="Z129" s="208" t="str">
        <f t="shared" si="0"/>
        <v/>
      </c>
      <c r="AA129" s="209"/>
      <c r="AB129" s="210"/>
      <c r="AC129" s="208" t="str">
        <f t="shared" si="3"/>
        <v/>
      </c>
      <c r="AD129" s="229" t="str">
        <f t="shared" si="4"/>
        <v/>
      </c>
    </row>
    <row r="130" spans="2:30" x14ac:dyDescent="0.25">
      <c r="K130" s="158"/>
      <c r="L130" s="158"/>
      <c r="N130" s="187" t="s">
        <v>264</v>
      </c>
      <c r="O130" s="188"/>
      <c r="P130" s="188"/>
      <c r="Q130" s="218" t="s">
        <v>837</v>
      </c>
      <c r="R130" s="194">
        <v>10</v>
      </c>
      <c r="W130" s="158"/>
      <c r="Z130" s="208" t="str">
        <f t="shared" si="0"/>
        <v/>
      </c>
      <c r="AA130" s="209"/>
      <c r="AB130" s="210"/>
      <c r="AC130" s="208" t="str">
        <f t="shared" si="3"/>
        <v/>
      </c>
      <c r="AD130" s="229" t="str">
        <f t="shared" si="4"/>
        <v/>
      </c>
    </row>
    <row r="131" spans="2:30" x14ac:dyDescent="0.25">
      <c r="B131" s="132" t="s">
        <v>527</v>
      </c>
      <c r="E131" s="132" t="s">
        <v>527</v>
      </c>
      <c r="F131" s="132" t="s">
        <v>527</v>
      </c>
      <c r="H131" s="132" t="s">
        <v>527</v>
      </c>
      <c r="K131" s="158" t="s">
        <v>527</v>
      </c>
      <c r="L131" s="158" t="s">
        <v>527</v>
      </c>
      <c r="N131" s="107"/>
      <c r="O131" s="190"/>
      <c r="P131" s="190"/>
      <c r="Q131" s="195"/>
      <c r="R131" s="195"/>
      <c r="W131" s="158"/>
      <c r="Z131" s="213" t="str">
        <f t="shared" si="0"/>
        <v/>
      </c>
      <c r="AA131" s="214"/>
      <c r="AB131" s="215"/>
      <c r="AC131" s="213" t="str">
        <f t="shared" si="1"/>
        <v/>
      </c>
      <c r="AD131" s="230" t="str">
        <f t="shared" si="2"/>
        <v/>
      </c>
    </row>
    <row r="132" spans="2:30" x14ac:dyDescent="0.25">
      <c r="B132" s="132" t="s">
        <v>527</v>
      </c>
      <c r="E132" s="132" t="s">
        <v>527</v>
      </c>
      <c r="F132" s="132" t="s">
        <v>527</v>
      </c>
      <c r="W132" s="158"/>
    </row>
    <row r="133" spans="2:30" x14ac:dyDescent="0.25">
      <c r="B133" s="132" t="s">
        <v>527</v>
      </c>
      <c r="E133" s="132" t="s">
        <v>527</v>
      </c>
      <c r="F133" s="132" t="s">
        <v>527</v>
      </c>
      <c r="W133" s="158"/>
    </row>
    <row r="134" spans="2:30" x14ac:dyDescent="0.25">
      <c r="B134" s="132" t="s">
        <v>527</v>
      </c>
      <c r="E134" s="132" t="s">
        <v>527</v>
      </c>
      <c r="F134" s="132" t="s">
        <v>527</v>
      </c>
      <c r="W134" s="158"/>
    </row>
    <row r="135" spans="2:30" x14ac:dyDescent="0.25">
      <c r="B135" s="132" t="s">
        <v>527</v>
      </c>
      <c r="E135" s="132" t="s">
        <v>527</v>
      </c>
      <c r="F135" s="132" t="s">
        <v>527</v>
      </c>
      <c r="W135" s="158"/>
    </row>
    <row r="136" spans="2:30" x14ac:dyDescent="0.25">
      <c r="B136" s="132" t="s">
        <v>527</v>
      </c>
      <c r="E136" s="132" t="s">
        <v>527</v>
      </c>
      <c r="F136" s="132" t="s">
        <v>527</v>
      </c>
      <c r="W136" s="158"/>
    </row>
    <row r="137" spans="2:30" x14ac:dyDescent="0.25">
      <c r="B137" s="132" t="s">
        <v>527</v>
      </c>
      <c r="E137" s="132" t="s">
        <v>527</v>
      </c>
      <c r="F137" s="132" t="s">
        <v>527</v>
      </c>
      <c r="W137" s="158"/>
    </row>
    <row r="138" spans="2:30" x14ac:dyDescent="0.25">
      <c r="B138" s="132" t="s">
        <v>527</v>
      </c>
      <c r="E138" s="132" t="s">
        <v>527</v>
      </c>
      <c r="F138" s="132" t="s">
        <v>527</v>
      </c>
      <c r="W138" s="158"/>
    </row>
    <row r="139" spans="2:30" x14ac:dyDescent="0.25">
      <c r="B139" s="132" t="s">
        <v>527</v>
      </c>
      <c r="E139" s="132" t="s">
        <v>527</v>
      </c>
      <c r="F139" s="132" t="s">
        <v>527</v>
      </c>
      <c r="W139" s="158"/>
    </row>
    <row r="140" spans="2:30" x14ac:dyDescent="0.25">
      <c r="B140" s="132" t="s">
        <v>527</v>
      </c>
      <c r="E140" s="132" t="s">
        <v>527</v>
      </c>
      <c r="F140" s="132" t="s">
        <v>527</v>
      </c>
    </row>
    <row r="141" spans="2:30" x14ac:dyDescent="0.25">
      <c r="B141" s="132" t="s">
        <v>527</v>
      </c>
      <c r="E141" s="132" t="s">
        <v>527</v>
      </c>
      <c r="F141" s="132" t="s">
        <v>527</v>
      </c>
    </row>
    <row r="142" spans="2:30" x14ac:dyDescent="0.25">
      <c r="B142" s="132" t="s">
        <v>527</v>
      </c>
      <c r="E142" s="132" t="s">
        <v>527</v>
      </c>
      <c r="F142" s="132" t="s">
        <v>527</v>
      </c>
    </row>
    <row r="143" spans="2:30" x14ac:dyDescent="0.25">
      <c r="B143" s="132" t="s">
        <v>527</v>
      </c>
      <c r="E143" s="132" t="s">
        <v>527</v>
      </c>
      <c r="F143" s="132" t="s">
        <v>527</v>
      </c>
    </row>
    <row r="149" spans="9:10" x14ac:dyDescent="0.25">
      <c r="I149" s="132" t="s">
        <v>527</v>
      </c>
      <c r="J149" s="132" t="s">
        <v>527</v>
      </c>
    </row>
  </sheetData>
  <sheetProtection password="CDF4" sheet="1" objects="1" scenarios="1"/>
  <mergeCells count="50">
    <mergeCell ref="B64:E64"/>
    <mergeCell ref="C42:G42"/>
    <mergeCell ref="C43:G43"/>
    <mergeCell ref="C44:G44"/>
    <mergeCell ref="B48:F49"/>
    <mergeCell ref="D52:F53"/>
    <mergeCell ref="Z70:AD70"/>
    <mergeCell ref="T70:X70"/>
    <mergeCell ref="J44:K44"/>
    <mergeCell ref="H43:I43"/>
    <mergeCell ref="J43:K43"/>
    <mergeCell ref="J45:K45"/>
    <mergeCell ref="B71:D71"/>
    <mergeCell ref="H71:J71"/>
    <mergeCell ref="N71:P71"/>
    <mergeCell ref="B70:F70"/>
    <mergeCell ref="H70:L70"/>
    <mergeCell ref="N70:R70"/>
    <mergeCell ref="B31:D31"/>
    <mergeCell ref="E31:G31"/>
    <mergeCell ref="H44:I44"/>
    <mergeCell ref="B40:B41"/>
    <mergeCell ref="G52:G53"/>
    <mergeCell ref="H45:I45"/>
    <mergeCell ref="B50:C51"/>
    <mergeCell ref="D50:F51"/>
    <mergeCell ref="G50:G51"/>
    <mergeCell ref="B52:C53"/>
    <mergeCell ref="H40:K40"/>
    <mergeCell ref="J41:K41"/>
    <mergeCell ref="H42:I42"/>
    <mergeCell ref="J42:K42"/>
    <mergeCell ref="H41:I41"/>
    <mergeCell ref="C40:G41"/>
    <mergeCell ref="B6:C7"/>
    <mergeCell ref="H31:H32"/>
    <mergeCell ref="L6:M6"/>
    <mergeCell ref="F14:G14"/>
    <mergeCell ref="F17:G17"/>
    <mergeCell ref="D6:G7"/>
    <mergeCell ref="H6:J6"/>
    <mergeCell ref="F16:G16"/>
    <mergeCell ref="F15:G15"/>
    <mergeCell ref="K6:K7"/>
    <mergeCell ref="B23:D23"/>
    <mergeCell ref="E23:G23"/>
    <mergeCell ref="B8:C9"/>
    <mergeCell ref="F18:G18"/>
    <mergeCell ref="F19:G19"/>
    <mergeCell ref="H23:H24"/>
  </mergeCells>
  <phoneticPr fontId="4" type="noConversion"/>
  <dataValidations count="1">
    <dataValidation type="list" allowBlank="1" showInputMessage="1" showErrorMessage="1" sqref="L5" xr:uid="{00000000-0002-0000-0300-000000000000}">
      <formula1>$T$72:$T$107</formula1>
    </dataValidation>
  </dataValidations>
  <pageMargins left="0.74803149606299213" right="0.74803149606299213" top="0.56999999999999995" bottom="0.4" header="0.51181102362204722" footer="0.32"/>
  <pageSetup paperSize="9" scale="68" orientation="landscape"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xdr:col>
                    <xdr:colOff>7620</xdr:colOff>
                    <xdr:row>13</xdr:row>
                    <xdr:rowOff>0</xdr:rowOff>
                  </from>
                  <to>
                    <xdr:col>5</xdr:col>
                    <xdr:colOff>22860</xdr:colOff>
                    <xdr:row>14</xdr:row>
                    <xdr:rowOff>7620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1</xdr:col>
                    <xdr:colOff>7620</xdr:colOff>
                    <xdr:row>16</xdr:row>
                    <xdr:rowOff>7620</xdr:rowOff>
                  </from>
                  <to>
                    <xdr:col>5</xdr:col>
                    <xdr:colOff>22860</xdr:colOff>
                    <xdr:row>17</xdr:row>
                    <xdr:rowOff>22860</xdr:rowOff>
                  </to>
                </anchor>
              </controlPr>
            </control>
          </mc:Choice>
        </mc:AlternateContent>
        <mc:AlternateContent xmlns:mc="http://schemas.openxmlformats.org/markup-compatibility/2006">
          <mc:Choice Requires="x14">
            <control shapeId="14339" r:id="rId6" name="Drop Down 3">
              <controlPr defaultSize="0" autoLine="0" autoPict="0">
                <anchor moveWithCells="1">
                  <from>
                    <xdr:col>1</xdr:col>
                    <xdr:colOff>7620</xdr:colOff>
                    <xdr:row>17</xdr:row>
                    <xdr:rowOff>0</xdr:rowOff>
                  </from>
                  <to>
                    <xdr:col>5</xdr:col>
                    <xdr:colOff>22860</xdr:colOff>
                    <xdr:row>18</xdr:row>
                    <xdr:rowOff>7620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716280</xdr:colOff>
                    <xdr:row>2</xdr:row>
                    <xdr:rowOff>0</xdr:rowOff>
                  </from>
                  <to>
                    <xdr:col>7</xdr:col>
                    <xdr:colOff>7620</xdr:colOff>
                    <xdr:row>3</xdr:row>
                    <xdr:rowOff>45720</xdr:rowOff>
                  </to>
                </anchor>
              </controlPr>
            </control>
          </mc:Choice>
        </mc:AlternateContent>
        <mc:AlternateContent xmlns:mc="http://schemas.openxmlformats.org/markup-compatibility/2006">
          <mc:Choice Requires="x14">
            <control shapeId="14362" r:id="rId8" name="Drop Down 26">
              <controlPr defaultSize="0" autoLine="0" autoPict="0">
                <anchor moveWithCells="1">
                  <from>
                    <xdr:col>1</xdr:col>
                    <xdr:colOff>7620</xdr:colOff>
                    <xdr:row>14</xdr:row>
                    <xdr:rowOff>0</xdr:rowOff>
                  </from>
                  <to>
                    <xdr:col>5</xdr:col>
                    <xdr:colOff>22860</xdr:colOff>
                    <xdr:row>15</xdr:row>
                    <xdr:rowOff>7620</xdr:rowOff>
                  </to>
                </anchor>
              </controlPr>
            </control>
          </mc:Choice>
        </mc:AlternateContent>
        <mc:AlternateContent xmlns:mc="http://schemas.openxmlformats.org/markup-compatibility/2006">
          <mc:Choice Requires="x14">
            <control shapeId="14363" r:id="rId9" name="Drop Down 27">
              <controlPr defaultSize="0" autoLine="0" autoPict="0">
                <anchor moveWithCells="1">
                  <from>
                    <xdr:col>1</xdr:col>
                    <xdr:colOff>7620</xdr:colOff>
                    <xdr:row>15</xdr:row>
                    <xdr:rowOff>7620</xdr:rowOff>
                  </from>
                  <to>
                    <xdr:col>5</xdr:col>
                    <xdr:colOff>22860</xdr:colOff>
                    <xdr:row>16</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W165"/>
  <sheetViews>
    <sheetView showGridLines="0" zoomScale="75" zoomScaleNormal="75" workbookViewId="0">
      <selection activeCell="H16" sqref="H16"/>
    </sheetView>
  </sheetViews>
  <sheetFormatPr defaultColWidth="9.109375" defaultRowHeight="13.2" x14ac:dyDescent="0.25"/>
  <cols>
    <col min="1" max="1" width="5.33203125" style="132" customWidth="1"/>
    <col min="2" max="2" width="15.6640625" style="132" customWidth="1"/>
    <col min="3" max="3" width="12.6640625" style="132" customWidth="1"/>
    <col min="4" max="5" width="8.6640625" style="132" customWidth="1"/>
    <col min="6" max="6" width="11" style="132" customWidth="1"/>
    <col min="7" max="7" width="10.44140625" style="132" customWidth="1"/>
    <col min="8" max="8" width="9.6640625" style="132" customWidth="1"/>
    <col min="9" max="9" width="13.88671875" style="132" customWidth="1"/>
    <col min="10" max="10" width="13" style="132" customWidth="1"/>
    <col min="11" max="11" width="12" style="132" customWidth="1"/>
    <col min="12" max="12" width="10.109375" style="132" customWidth="1"/>
    <col min="13" max="13" width="8.44140625" style="132" customWidth="1"/>
    <col min="14" max="14" width="8.109375" style="132" customWidth="1"/>
    <col min="15" max="15" width="7.5546875" style="132" customWidth="1"/>
    <col min="16" max="16" width="10.5546875" style="132" customWidth="1"/>
    <col min="17" max="17" width="28.109375" style="132" customWidth="1"/>
    <col min="18" max="18" width="11.33203125" style="132" customWidth="1"/>
    <col min="19" max="20" width="9.109375" style="132"/>
    <col min="21" max="21" width="3" style="132" hidden="1" customWidth="1"/>
    <col min="22" max="23" width="0" style="132" hidden="1" customWidth="1"/>
    <col min="24" max="28" width="9.109375" style="132"/>
    <col min="29" max="29" width="16.88671875" style="132" customWidth="1"/>
    <col min="30" max="16384" width="9.109375" style="132"/>
  </cols>
  <sheetData>
    <row r="1" spans="1:23" ht="15.6" x14ac:dyDescent="0.3">
      <c r="A1" s="138" t="s">
        <v>713</v>
      </c>
      <c r="N1" s="157" t="s">
        <v>138</v>
      </c>
    </row>
    <row r="2" spans="1:23" ht="63" customHeight="1" x14ac:dyDescent="0.25">
      <c r="E2" s="158"/>
      <c r="F2" s="158"/>
      <c r="G2" s="158"/>
      <c r="H2" s="158"/>
      <c r="I2" s="158"/>
      <c r="J2" s="158"/>
      <c r="K2" s="158"/>
    </row>
    <row r="3" spans="1:23" x14ac:dyDescent="0.25">
      <c r="A3" s="157" t="s">
        <v>536</v>
      </c>
      <c r="B3" s="159" t="s">
        <v>522</v>
      </c>
      <c r="U3" s="160">
        <v>1</v>
      </c>
    </row>
    <row r="4" spans="1:23" x14ac:dyDescent="0.25">
      <c r="A4" s="157"/>
      <c r="B4" s="159"/>
      <c r="U4" s="160"/>
    </row>
    <row r="5" spans="1:23" x14ac:dyDescent="0.25">
      <c r="A5" s="157" t="s">
        <v>529</v>
      </c>
      <c r="B5" s="220" t="s">
        <v>853</v>
      </c>
      <c r="U5" s="160"/>
    </row>
    <row r="6" spans="1:23" x14ac:dyDescent="0.25">
      <c r="B6" s="584" t="s">
        <v>520</v>
      </c>
      <c r="C6" s="585"/>
      <c r="D6" s="647" t="s">
        <v>580</v>
      </c>
      <c r="E6" s="647"/>
      <c r="F6" s="647"/>
      <c r="G6" s="647"/>
      <c r="H6" s="607" t="s">
        <v>533</v>
      </c>
      <c r="I6" s="608"/>
      <c r="J6" s="608"/>
      <c r="K6" s="609"/>
      <c r="L6" s="648" t="s">
        <v>592</v>
      </c>
      <c r="M6" s="607" t="s">
        <v>593</v>
      </c>
      <c r="N6" s="609"/>
      <c r="U6" s="160"/>
    </row>
    <row r="7" spans="1:23" x14ac:dyDescent="0.25">
      <c r="B7" s="641"/>
      <c r="C7" s="642"/>
      <c r="D7" s="647"/>
      <c r="E7" s="647"/>
      <c r="F7" s="647"/>
      <c r="G7" s="647"/>
      <c r="H7" s="66" t="s">
        <v>538</v>
      </c>
      <c r="I7" s="7" t="s">
        <v>521</v>
      </c>
      <c r="J7" s="607" t="s">
        <v>846</v>
      </c>
      <c r="K7" s="609"/>
      <c r="L7" s="649"/>
      <c r="M7" s="7" t="str">
        <f>+H7</f>
        <v>$/EP</v>
      </c>
      <c r="N7" s="7" t="s">
        <v>521</v>
      </c>
      <c r="U7" s="160"/>
    </row>
    <row r="8" spans="1:23" x14ac:dyDescent="0.25">
      <c r="B8" s="652" t="s">
        <v>696</v>
      </c>
      <c r="C8" s="653"/>
      <c r="D8" s="78" t="s">
        <v>844</v>
      </c>
      <c r="E8" s="13"/>
      <c r="F8" s="13"/>
      <c r="G8" s="14"/>
      <c r="H8" s="9">
        <v>770</v>
      </c>
      <c r="I8" s="80" t="s">
        <v>845</v>
      </c>
      <c r="J8" s="76" t="s">
        <v>797</v>
      </c>
      <c r="K8" s="76">
        <v>80.099999999999994</v>
      </c>
      <c r="L8" s="81">
        <f>+'June 2009 Summary'!$D$16/Water!K8</f>
        <v>1.1885143570536829</v>
      </c>
      <c r="M8" s="9">
        <f>+H8*L8</f>
        <v>915.1560549313358</v>
      </c>
      <c r="N8" s="62" t="str">
        <f>+'June 2009 Summary'!$D$14</f>
        <v>Jun '09</v>
      </c>
      <c r="U8" s="160"/>
    </row>
    <row r="9" spans="1:23" x14ac:dyDescent="0.25">
      <c r="B9" s="688"/>
      <c r="C9" s="689"/>
      <c r="D9" s="77" t="s">
        <v>847</v>
      </c>
      <c r="E9" s="21"/>
      <c r="F9" s="21"/>
      <c r="G9" s="22"/>
      <c r="H9" s="79">
        <v>178</v>
      </c>
      <c r="I9" s="63" t="str">
        <f>+I8</f>
        <v>Jun '06</v>
      </c>
      <c r="J9" s="76" t="s">
        <v>797</v>
      </c>
      <c r="K9" s="76">
        <v>80.099999999999994</v>
      </c>
      <c r="L9" s="81">
        <f>+'June 2009 Summary'!$D$16/Water!K9</f>
        <v>1.1885143570536829</v>
      </c>
      <c r="M9" s="9">
        <f>+H9*L9</f>
        <v>211.55555555555557</v>
      </c>
      <c r="N9" s="62" t="str">
        <f>+'June 2009 Summary'!$D$14</f>
        <v>Jun '09</v>
      </c>
      <c r="U9" s="160"/>
    </row>
    <row r="10" spans="1:23" x14ac:dyDescent="0.25">
      <c r="B10" s="688"/>
      <c r="C10" s="689"/>
      <c r="D10" s="20" t="s">
        <v>848</v>
      </c>
      <c r="E10" s="21"/>
      <c r="F10" s="21"/>
      <c r="G10" s="22"/>
      <c r="H10" s="79">
        <f>333+896</f>
        <v>1229</v>
      </c>
      <c r="I10" s="63" t="str">
        <f>+I9</f>
        <v>Jun '06</v>
      </c>
      <c r="J10" s="76" t="s">
        <v>797</v>
      </c>
      <c r="K10" s="76">
        <v>80.099999999999994</v>
      </c>
      <c r="L10" s="81">
        <f>+'June 2009 Summary'!$D$16/Water!K10</f>
        <v>1.1885143570536829</v>
      </c>
      <c r="M10" s="9">
        <f>+H10*L10</f>
        <v>1460.6841448189764</v>
      </c>
      <c r="N10" s="62" t="str">
        <f>+'June 2009 Summary'!$D$14</f>
        <v>Jun '09</v>
      </c>
      <c r="U10" s="160"/>
    </row>
    <row r="11" spans="1:23" x14ac:dyDescent="0.25">
      <c r="B11" s="654"/>
      <c r="C11" s="655"/>
      <c r="D11" s="78" t="s">
        <v>849</v>
      </c>
      <c r="E11" s="13"/>
      <c r="F11" s="13"/>
      <c r="G11" s="14"/>
      <c r="H11" s="79">
        <v>110</v>
      </c>
      <c r="I11" s="63" t="str">
        <f>+I8</f>
        <v>Jun '06</v>
      </c>
      <c r="J11" s="76" t="s">
        <v>797</v>
      </c>
      <c r="K11" s="76">
        <v>80.099999999999994</v>
      </c>
      <c r="L11" s="81">
        <f>+'June 2009 Summary'!$D$16/Water!K11</f>
        <v>1.1885143570536829</v>
      </c>
      <c r="M11" s="9">
        <f>+H11*L11</f>
        <v>130.73657927590511</v>
      </c>
      <c r="N11" s="62" t="str">
        <f>+'June 2009 Summary'!$D$14</f>
        <v>Jun '09</v>
      </c>
      <c r="U11" s="160"/>
    </row>
    <row r="12" spans="1:23" x14ac:dyDescent="0.25">
      <c r="H12" s="162" t="s">
        <v>807</v>
      </c>
      <c r="I12" s="162"/>
      <c r="L12" s="158"/>
      <c r="U12" s="160"/>
    </row>
    <row r="14" spans="1:23" x14ac:dyDescent="0.25">
      <c r="A14" s="157" t="s">
        <v>530</v>
      </c>
      <c r="B14" s="220" t="s">
        <v>854</v>
      </c>
    </row>
    <row r="15" spans="1:23" x14ac:dyDescent="0.25">
      <c r="B15" s="3" t="s">
        <v>524</v>
      </c>
      <c r="C15" s="4"/>
      <c r="D15" s="4"/>
      <c r="E15" s="5"/>
      <c r="F15" s="3" t="s">
        <v>526</v>
      </c>
      <c r="G15" s="6"/>
      <c r="H15" s="7" t="s">
        <v>525</v>
      </c>
      <c r="I15" s="8" t="s">
        <v>692</v>
      </c>
      <c r="J15" s="66" t="s">
        <v>855</v>
      </c>
      <c r="U15" s="160"/>
    </row>
    <row r="16" spans="1:23" ht="15" customHeight="1" x14ac:dyDescent="0.25">
      <c r="F16" s="645" t="str">
        <f>INDEX($S$89:$S$154,U16)</f>
        <v xml:space="preserve"> </v>
      </c>
      <c r="G16" s="646"/>
      <c r="H16" s="182"/>
      <c r="I16" s="510" t="str">
        <f>+IF(F16="FPA"," ",INDEX($T$89:$T$154,U16))</f>
        <v xml:space="preserve"> </v>
      </c>
      <c r="J16" s="1" t="str">
        <f>+IF(OR(I16=" ",H16=0),"",IF(I16="1.87 + 0.93/bed",1.87+H16*0.93,IF(I16="0.7 + 2.1/unit",0.7+2.1*H16,IF(I16="4.2 + 0.35/150m²",4.2+ROUNDUP((H16-300)/150,0)*0.35,IF(I16="2.8 + 2.8/100m²",2.8+ROUNDUP((H16-200)/100,0)*2.8,IF(I16="8.4+0.7/150m²",8.4+ROUNDUP((H16-300)/150,0)*0.7,H16*I16))))))</f>
        <v/>
      </c>
      <c r="K16" s="164"/>
      <c r="L16" s="180" t="s">
        <v>129</v>
      </c>
      <c r="U16" s="160">
        <v>1</v>
      </c>
      <c r="V16" s="433" t="str">
        <f>IF($U$3=2,INDEX($B$89:$F$115,U16,1),"Not ROL")</f>
        <v>Not ROL</v>
      </c>
      <c r="W16" s="132">
        <f>+H16</f>
        <v>0</v>
      </c>
    </row>
    <row r="17" spans="1:23" ht="15" customHeight="1" x14ac:dyDescent="0.25">
      <c r="F17" s="645" t="str">
        <f>INDEX($S$89:$S$154,U17)</f>
        <v xml:space="preserve"> </v>
      </c>
      <c r="G17" s="646"/>
      <c r="H17" s="182"/>
      <c r="I17" s="510" t="str">
        <f>+IF(F17="FPA"," ",INDEX($T$89:$T$154,U17))</f>
        <v xml:space="preserve"> </v>
      </c>
      <c r="J17" s="1" t="str">
        <f>+IF(OR(I17=" ",H17=0),"",IF(I17="1.87 + 0.93/bed",1.87+H17*0.93,IF(I17="0.7 + 2.1/unit",0.7+2.1*H17,IF(I17="4.2 + 0.35/150m²",4.2+ROUNDUP((H17-300)/150,0)*0.35,IF(I17="2.8 + 2.8/100m²",2.8+ROUNDUP((H17-200)/100,0)*2.8,IF(I17="8.4+0.7/150m²",8.4+ROUNDUP((H17-300)/150,0)*0.7,H17*I17))))))</f>
        <v/>
      </c>
      <c r="K17" s="164"/>
      <c r="L17" s="180"/>
      <c r="U17" s="160">
        <v>1</v>
      </c>
      <c r="V17" s="433" t="str">
        <f>IF($U$3=2,INDEX($B$89:$F$115,U17,1),"Not ROL")</f>
        <v>Not ROL</v>
      </c>
      <c r="W17" s="132">
        <f>+H17</f>
        <v>0</v>
      </c>
    </row>
    <row r="18" spans="1:23" ht="15" customHeight="1" x14ac:dyDescent="0.25">
      <c r="F18" s="645" t="str">
        <f>INDEX($S$89:$S$154,U18)</f>
        <v xml:space="preserve"> </v>
      </c>
      <c r="G18" s="646"/>
      <c r="H18" s="182"/>
      <c r="I18" s="510" t="str">
        <f>+IF(F18="FPA"," ",INDEX($T$89:$T$154,U18))</f>
        <v xml:space="preserve"> </v>
      </c>
      <c r="J18" s="1" t="str">
        <f>+IF(OR(I18=" ",H18=0),"",IF(I18="1.87 + 0.93/bed",1.87+H18*0.93,IF(I18="0.7 + 2.1/unit",0.7+2.1*H18,IF(I18="4.2 + 0.35/150m²",4.2+ROUNDUP((H18-300)/150,0)*0.35,IF(I18="2.8 + 2.8/100m²",2.8+ROUNDUP((H18-200)/100,0)*2.8,IF(I18="8.4+0.7/150m²",8.4+ROUNDUP((H18-300)/150,0)*0.7,H18*I18))))))</f>
        <v/>
      </c>
      <c r="K18" s="164"/>
      <c r="L18" s="180"/>
      <c r="U18" s="160">
        <v>1</v>
      </c>
      <c r="V18" s="433" t="str">
        <f>IF($U$3=2,INDEX($B$89:$F$115,U18,1),"Not ROL")</f>
        <v>Not ROL</v>
      </c>
      <c r="W18" s="132">
        <f>+H18</f>
        <v>0</v>
      </c>
    </row>
    <row r="19" spans="1:23" ht="15" customHeight="1" x14ac:dyDescent="0.25">
      <c r="F19" s="645" t="str">
        <f>INDEX($S$89:$S$154,U19)</f>
        <v xml:space="preserve"> </v>
      </c>
      <c r="G19" s="646"/>
      <c r="H19" s="182"/>
      <c r="I19" s="510" t="str">
        <f>+IF(F19="FPA"," ",INDEX($T$89:$T$154,U19))</f>
        <v xml:space="preserve"> </v>
      </c>
      <c r="J19" s="1" t="str">
        <f>+IF(OR(I19=" ",H19=0),"",IF(I19="1.87 + 0.93/bed",1.87+H19*0.93,IF(I19="0.7 + 2.1/unit",0.7+2.1*H19,IF(I19="4.2 + 0.35/150m²",4.2+ROUNDUP((H19-300)/150,0)*0.35,IF(I19="2.8 + 2.8/100m²",2.8+ROUNDUP((H19-200)/100,0)*2.8,IF(I19="8.4+0.7/150m²",8.4+ROUNDUP((H19-300)/150,0)*0.7,H19*I19))))))</f>
        <v/>
      </c>
      <c r="K19" s="164"/>
      <c r="L19" s="132" t="s">
        <v>130</v>
      </c>
      <c r="U19" s="160">
        <v>1</v>
      </c>
      <c r="V19" s="433" t="str">
        <f>IF($U$3=2,INDEX($B$89:$F$115,U19,1),"Not ROL")</f>
        <v>Not ROL</v>
      </c>
      <c r="W19" s="132">
        <f>+H19</f>
        <v>0</v>
      </c>
    </row>
    <row r="20" spans="1:23" ht="15" customHeight="1" x14ac:dyDescent="0.25">
      <c r="F20" s="645" t="str">
        <f>INDEX($S$89:$S$154,U20)</f>
        <v xml:space="preserve"> </v>
      </c>
      <c r="G20" s="646"/>
      <c r="H20" s="182"/>
      <c r="I20" s="510" t="str">
        <f>+IF(F20="FPA"," ",INDEX($T$89:$T$154,U20))</f>
        <v xml:space="preserve"> </v>
      </c>
      <c r="J20" s="1" t="str">
        <f>+IF(OR(I20=" ",H20=0),"",IF(I20="1.87 + 0.93/bed",1.87+H20*0.93,IF(I20="0.7 + 2.1/unit",0.7+2.1*H20,IF(I20="4.2 + 0.35/150m²",4.2+ROUNDUP((H20-300)/150,0)*0.35,IF(I20="2.8 + 2.8/100m²",2.8+ROUNDUP((H20-200)/100,0)*2.8,IF(I20="8.4+0.7/150m²",8.4+ROUNDUP((H20-300)/150,0)*0.7,H20*I20))))))</f>
        <v/>
      </c>
      <c r="K20" s="164"/>
      <c r="L20" s="132" t="s">
        <v>131</v>
      </c>
      <c r="U20" s="160">
        <v>1</v>
      </c>
      <c r="V20" s="433" t="str">
        <f>IF($U$3=2,INDEX($B$89:$F$115,U20,1),"Not ROL")</f>
        <v>Not ROL</v>
      </c>
      <c r="W20" s="132">
        <f>+H20</f>
        <v>0</v>
      </c>
    </row>
    <row r="21" spans="1:23" x14ac:dyDescent="0.25">
      <c r="E21" s="163" t="str">
        <f>+IF(OR(F16="FPA",F19="FPA",F20="FPA")," Please summarise First Principles Assessment (FPA):","Do not use this line - First Principles Assessment only")</f>
        <v>Do not use this line - First Principles Assessment only</v>
      </c>
      <c r="F21" s="656"/>
      <c r="G21" s="657"/>
      <c r="H21" s="182"/>
      <c r="I21" s="182"/>
      <c r="J21" s="2">
        <f>+IF(I21=" ","",H21*I21)</f>
        <v>0</v>
      </c>
      <c r="K21" s="164"/>
      <c r="U21" s="160"/>
    </row>
    <row r="22" spans="1:23" x14ac:dyDescent="0.25">
      <c r="I22" s="165" t="s">
        <v>528</v>
      </c>
      <c r="J22" s="19">
        <f>SUM(J16:J21)</f>
        <v>0</v>
      </c>
      <c r="K22" s="164"/>
    </row>
    <row r="23" spans="1:23" x14ac:dyDescent="0.25">
      <c r="K23" s="164"/>
    </row>
    <row r="24" spans="1:23" x14ac:dyDescent="0.25">
      <c r="A24" s="157">
        <v>4</v>
      </c>
      <c r="B24" s="159" t="s">
        <v>716</v>
      </c>
    </row>
    <row r="25" spans="1:23" x14ac:dyDescent="0.25">
      <c r="B25" s="691" t="s">
        <v>5</v>
      </c>
      <c r="C25" s="692"/>
      <c r="D25" s="692"/>
      <c r="E25" s="693"/>
      <c r="F25" s="607" t="s">
        <v>698</v>
      </c>
      <c r="G25" s="608"/>
      <c r="H25" s="609"/>
      <c r="I25" s="648" t="s">
        <v>592</v>
      </c>
      <c r="J25" s="648" t="s">
        <v>0</v>
      </c>
      <c r="K25" s="690" t="s">
        <v>1</v>
      </c>
    </row>
    <row r="26" spans="1:23" x14ac:dyDescent="0.25">
      <c r="B26" s="65" t="s">
        <v>697</v>
      </c>
      <c r="C26" s="65" t="s">
        <v>521</v>
      </c>
      <c r="D26" s="607" t="s">
        <v>846</v>
      </c>
      <c r="E26" s="609"/>
      <c r="F26" s="7" t="s">
        <v>521</v>
      </c>
      <c r="G26" s="607" t="s">
        <v>846</v>
      </c>
      <c r="H26" s="609"/>
      <c r="I26" s="649"/>
      <c r="J26" s="649"/>
      <c r="K26" s="644"/>
    </row>
    <row r="27" spans="1:23" x14ac:dyDescent="0.25">
      <c r="B27" s="222"/>
      <c r="C27" s="223"/>
      <c r="D27" s="82" t="s">
        <v>797</v>
      </c>
      <c r="E27" s="223"/>
      <c r="F27" s="62" t="str">
        <f>+'June 2009 Summary'!$D$14</f>
        <v>Jun '09</v>
      </c>
      <c r="G27" s="82" t="s">
        <v>797</v>
      </c>
      <c r="H27" s="15">
        <f>+'June 2009 Summary'!$D$16</f>
        <v>95.2</v>
      </c>
      <c r="I27" s="84" t="str">
        <f>+IF(B27=0,"",H27/E27)</f>
        <v/>
      </c>
      <c r="J27" s="83" t="str">
        <f>+IF(B27="","",B27*I27)</f>
        <v/>
      </c>
      <c r="K27" s="83" t="str">
        <f>+IF(B27="","",J27/$M$9)</f>
        <v/>
      </c>
    </row>
    <row r="28" spans="1:23" x14ac:dyDescent="0.25">
      <c r="B28" s="222"/>
      <c r="C28" s="223"/>
      <c r="D28" s="82" t="s">
        <v>797</v>
      </c>
      <c r="E28" s="223"/>
      <c r="F28" s="62" t="str">
        <f>+'June 2009 Summary'!$D$14</f>
        <v>Jun '09</v>
      </c>
      <c r="G28" s="82" t="s">
        <v>797</v>
      </c>
      <c r="H28" s="15">
        <f>+H27</f>
        <v>95.2</v>
      </c>
      <c r="I28" s="84" t="str">
        <f>+IF(B28=0,"",H28/E28)</f>
        <v/>
      </c>
      <c r="J28" s="83" t="str">
        <f>+IF(B28="","",B28*I28)</f>
        <v/>
      </c>
      <c r="K28" s="83" t="str">
        <f>+IF(B28="","",J28/$M$9)</f>
        <v/>
      </c>
    </row>
    <row r="29" spans="1:23" x14ac:dyDescent="0.25">
      <c r="B29" s="222"/>
      <c r="C29" s="223"/>
      <c r="D29" s="82" t="s">
        <v>797</v>
      </c>
      <c r="E29" s="223"/>
      <c r="F29" s="62" t="str">
        <f>+'June 2009 Summary'!$D$14</f>
        <v>Jun '09</v>
      </c>
      <c r="G29" s="82" t="s">
        <v>797</v>
      </c>
      <c r="H29" s="15">
        <f>+H27</f>
        <v>95.2</v>
      </c>
      <c r="I29" s="84" t="str">
        <f>+IF(B29=0,"",H29/E29)</f>
        <v/>
      </c>
      <c r="J29" s="83" t="str">
        <f>+IF(B29="","",B29*I29)</f>
        <v/>
      </c>
      <c r="K29" s="83" t="str">
        <f>+IF(B29="","",J29/$M$9)</f>
        <v/>
      </c>
    </row>
    <row r="30" spans="1:23" x14ac:dyDescent="0.25">
      <c r="B30" s="166" t="s">
        <v>6</v>
      </c>
      <c r="J30" s="165" t="s">
        <v>528</v>
      </c>
      <c r="K30" s="83">
        <f>SUM(K27:K29)</f>
        <v>0</v>
      </c>
    </row>
    <row r="31" spans="1:23" x14ac:dyDescent="0.25">
      <c r="G31" s="165"/>
      <c r="H31" s="167"/>
    </row>
    <row r="32" spans="1:23" x14ac:dyDescent="0.25">
      <c r="A32" s="157">
        <v>5</v>
      </c>
      <c r="B32" s="220" t="s">
        <v>3</v>
      </c>
      <c r="G32" s="165"/>
      <c r="H32" s="167"/>
    </row>
    <row r="33" spans="1:11" x14ac:dyDescent="0.25">
      <c r="A33" s="157"/>
      <c r="B33" s="691" t="s">
        <v>811</v>
      </c>
      <c r="C33" s="692"/>
      <c r="D33" s="692"/>
      <c r="E33" s="693"/>
      <c r="F33" s="607" t="s">
        <v>698</v>
      </c>
      <c r="G33" s="608"/>
      <c r="H33" s="609"/>
      <c r="I33" s="648" t="s">
        <v>592</v>
      </c>
      <c r="J33" s="648" t="s">
        <v>0</v>
      </c>
      <c r="K33" s="694" t="s">
        <v>2</v>
      </c>
    </row>
    <row r="34" spans="1:11" x14ac:dyDescent="0.25">
      <c r="A34" s="157"/>
      <c r="B34" s="65" t="s">
        <v>697</v>
      </c>
      <c r="C34" s="65" t="s">
        <v>521</v>
      </c>
      <c r="D34" s="607" t="s">
        <v>846</v>
      </c>
      <c r="E34" s="609"/>
      <c r="F34" s="7" t="s">
        <v>521</v>
      </c>
      <c r="G34" s="607" t="s">
        <v>846</v>
      </c>
      <c r="H34" s="609"/>
      <c r="I34" s="649"/>
      <c r="J34" s="649"/>
      <c r="K34" s="660"/>
    </row>
    <row r="35" spans="1:11" x14ac:dyDescent="0.25">
      <c r="A35" s="157"/>
      <c r="B35" s="222"/>
      <c r="C35" s="223"/>
      <c r="D35" s="82" t="s">
        <v>797</v>
      </c>
      <c r="E35" s="223"/>
      <c r="F35" s="62" t="str">
        <f>+'June 2009 Summary'!$D$14</f>
        <v>Jun '09</v>
      </c>
      <c r="G35" s="82" t="s">
        <v>797</v>
      </c>
      <c r="H35" s="15">
        <f>+'June 2009 Summary'!$D$16</f>
        <v>95.2</v>
      </c>
      <c r="I35" s="84" t="str">
        <f>+IF(B35=0,"",H35/E35)</f>
        <v/>
      </c>
      <c r="J35" s="83" t="str">
        <f>+IF(B35="","",B35*I35)</f>
        <v/>
      </c>
      <c r="K35" s="83" t="str">
        <f>+IF(B35="","",J35/$M$10)</f>
        <v/>
      </c>
    </row>
    <row r="36" spans="1:11" x14ac:dyDescent="0.25">
      <c r="A36" s="157"/>
      <c r="B36" s="222"/>
      <c r="C36" s="223"/>
      <c r="D36" s="82" t="s">
        <v>797</v>
      </c>
      <c r="E36" s="223"/>
      <c r="F36" s="62" t="str">
        <f>+'June 2009 Summary'!$D$14</f>
        <v>Jun '09</v>
      </c>
      <c r="G36" s="82" t="s">
        <v>797</v>
      </c>
      <c r="H36" s="15">
        <f>+H35</f>
        <v>95.2</v>
      </c>
      <c r="I36" s="84" t="str">
        <f>+IF(B36=0,"",H36/E36)</f>
        <v/>
      </c>
      <c r="J36" s="83" t="str">
        <f>+IF(B36="","",B36*I36)</f>
        <v/>
      </c>
      <c r="K36" s="83" t="str">
        <f>+IF(B36="","",J36/$M$10)</f>
        <v/>
      </c>
    </row>
    <row r="37" spans="1:11" x14ac:dyDescent="0.25">
      <c r="A37" s="157"/>
      <c r="B37" s="222"/>
      <c r="C37" s="223"/>
      <c r="D37" s="82" t="s">
        <v>797</v>
      </c>
      <c r="E37" s="223"/>
      <c r="F37" s="62" t="str">
        <f>+'June 2009 Summary'!$D$14</f>
        <v>Jun '09</v>
      </c>
      <c r="G37" s="82" t="s">
        <v>797</v>
      </c>
      <c r="H37" s="15">
        <f>+H35</f>
        <v>95.2</v>
      </c>
      <c r="I37" s="84" t="str">
        <f>+IF(B37=0,"",H37/E37)</f>
        <v/>
      </c>
      <c r="J37" s="83" t="str">
        <f>+IF(B37="","",B37*I37)</f>
        <v/>
      </c>
      <c r="K37" s="83" t="str">
        <f>+IF(B37="","",J37/$M$10)</f>
        <v/>
      </c>
    </row>
    <row r="38" spans="1:11" x14ac:dyDescent="0.25">
      <c r="A38" s="157"/>
      <c r="B38" s="166" t="s">
        <v>6</v>
      </c>
      <c r="J38" s="165" t="s">
        <v>528</v>
      </c>
      <c r="K38" s="83">
        <f>SUM(K35:K37)</f>
        <v>0</v>
      </c>
    </row>
    <row r="39" spans="1:11" x14ac:dyDescent="0.25">
      <c r="A39" s="157"/>
      <c r="B39" s="159"/>
      <c r="G39" s="165"/>
      <c r="H39" s="167"/>
    </row>
    <row r="40" spans="1:11" x14ac:dyDescent="0.25">
      <c r="A40" s="157">
        <v>6</v>
      </c>
      <c r="B40" s="220" t="s">
        <v>15</v>
      </c>
      <c r="G40" s="165"/>
      <c r="H40" s="167"/>
    </row>
    <row r="41" spans="1:11" x14ac:dyDescent="0.25">
      <c r="A41" s="157"/>
      <c r="B41" s="691" t="s">
        <v>811</v>
      </c>
      <c r="C41" s="692"/>
      <c r="D41" s="692"/>
      <c r="E41" s="693"/>
      <c r="F41" s="607" t="s">
        <v>698</v>
      </c>
      <c r="G41" s="608"/>
      <c r="H41" s="609"/>
      <c r="I41" s="648" t="s">
        <v>592</v>
      </c>
      <c r="J41" s="648" t="s">
        <v>0</v>
      </c>
      <c r="K41" s="694" t="s">
        <v>4</v>
      </c>
    </row>
    <row r="42" spans="1:11" x14ac:dyDescent="0.25">
      <c r="A42" s="157"/>
      <c r="B42" s="65" t="s">
        <v>697</v>
      </c>
      <c r="C42" s="65" t="s">
        <v>521</v>
      </c>
      <c r="D42" s="607" t="s">
        <v>846</v>
      </c>
      <c r="E42" s="609"/>
      <c r="F42" s="7" t="s">
        <v>521</v>
      </c>
      <c r="G42" s="607" t="s">
        <v>846</v>
      </c>
      <c r="H42" s="609"/>
      <c r="I42" s="649"/>
      <c r="J42" s="649"/>
      <c r="K42" s="660"/>
    </row>
    <row r="43" spans="1:11" x14ac:dyDescent="0.25">
      <c r="A43" s="157"/>
      <c r="B43" s="222"/>
      <c r="C43" s="223"/>
      <c r="D43" s="82" t="s">
        <v>797</v>
      </c>
      <c r="E43" s="223"/>
      <c r="F43" s="62" t="str">
        <f>+'June 2009 Summary'!$D$14</f>
        <v>Jun '09</v>
      </c>
      <c r="G43" s="82" t="s">
        <v>797</v>
      </c>
      <c r="H43" s="15">
        <f>+'June 2009 Summary'!$D$16</f>
        <v>95.2</v>
      </c>
      <c r="I43" s="84" t="str">
        <f>+IF(B43=0,"",H43/E43)</f>
        <v/>
      </c>
      <c r="J43" s="83" t="str">
        <f>+IF(B43="","",B43*I43)</f>
        <v/>
      </c>
      <c r="K43" s="83" t="str">
        <f>+IF(B43="","",J43/$M$11)</f>
        <v/>
      </c>
    </row>
    <row r="44" spans="1:11" x14ac:dyDescent="0.25">
      <c r="A44" s="157"/>
      <c r="B44" s="222"/>
      <c r="C44" s="223"/>
      <c r="D44" s="82" t="s">
        <v>797</v>
      </c>
      <c r="E44" s="223"/>
      <c r="F44" s="62" t="str">
        <f>+'June 2009 Summary'!$D$14</f>
        <v>Jun '09</v>
      </c>
      <c r="G44" s="82" t="s">
        <v>797</v>
      </c>
      <c r="H44" s="15">
        <f>+H43</f>
        <v>95.2</v>
      </c>
      <c r="I44" s="84" t="str">
        <f>+IF(B44=0,"",H44/E44)</f>
        <v/>
      </c>
      <c r="J44" s="83" t="str">
        <f>+IF(B44="","",B44*I44)</f>
        <v/>
      </c>
      <c r="K44" s="83" t="str">
        <f>+IF(B44="","",J44/$M$11)</f>
        <v/>
      </c>
    </row>
    <row r="45" spans="1:11" x14ac:dyDescent="0.25">
      <c r="A45" s="157"/>
      <c r="B45" s="222"/>
      <c r="C45" s="223"/>
      <c r="D45" s="82" t="s">
        <v>797</v>
      </c>
      <c r="E45" s="223"/>
      <c r="F45" s="62" t="str">
        <f>+'June 2009 Summary'!$D$14</f>
        <v>Jun '09</v>
      </c>
      <c r="G45" s="82" t="s">
        <v>797</v>
      </c>
      <c r="H45" s="15">
        <f>+H43</f>
        <v>95.2</v>
      </c>
      <c r="I45" s="84" t="str">
        <f>+IF(B45=0,"",H45/E45)</f>
        <v/>
      </c>
      <c r="J45" s="83" t="str">
        <f>+IF(B45="","",B45*I45)</f>
        <v/>
      </c>
      <c r="K45" s="83" t="str">
        <f>+IF(B45="","",J45/$M$11)</f>
        <v/>
      </c>
    </row>
    <row r="46" spans="1:11" x14ac:dyDescent="0.25">
      <c r="A46" s="157"/>
      <c r="B46" s="166" t="s">
        <v>6</v>
      </c>
      <c r="J46" s="165" t="s">
        <v>528</v>
      </c>
      <c r="K46" s="83">
        <f>SUM(K43:K45)</f>
        <v>0</v>
      </c>
    </row>
    <row r="47" spans="1:11" x14ac:dyDescent="0.25">
      <c r="A47" s="157"/>
      <c r="B47" s="159"/>
      <c r="G47" s="165"/>
      <c r="H47" s="167"/>
    </row>
    <row r="48" spans="1:11" x14ac:dyDescent="0.25">
      <c r="A48" s="221">
        <v>7</v>
      </c>
      <c r="B48" s="159" t="s">
        <v>771</v>
      </c>
      <c r="E48" s="170"/>
    </row>
    <row r="49" spans="1:14" x14ac:dyDescent="0.25">
      <c r="B49" s="584" t="s">
        <v>772</v>
      </c>
      <c r="C49" s="676"/>
      <c r="D49" s="676"/>
      <c r="E49" s="676"/>
      <c r="F49" s="585"/>
      <c r="G49" s="24" t="s">
        <v>778</v>
      </c>
    </row>
    <row r="50" spans="1:14" x14ac:dyDescent="0.25">
      <c r="A50" s="157"/>
      <c r="B50" s="641"/>
      <c r="C50" s="677"/>
      <c r="D50" s="677"/>
      <c r="E50" s="677"/>
      <c r="F50" s="642"/>
      <c r="G50" s="25" t="str">
        <f>+N8</f>
        <v>Jun '09</v>
      </c>
      <c r="H50" s="174"/>
      <c r="M50" s="162"/>
      <c r="N50" s="162"/>
    </row>
    <row r="51" spans="1:14" ht="26.25" customHeight="1" x14ac:dyDescent="0.25">
      <c r="A51" s="157"/>
      <c r="B51" s="85" t="s">
        <v>7</v>
      </c>
      <c r="C51" s="86"/>
      <c r="D51" s="87" t="s">
        <v>11</v>
      </c>
      <c r="E51" s="89"/>
      <c r="F51" s="90"/>
      <c r="G51" s="88">
        <f>+M8*J22</f>
        <v>0</v>
      </c>
      <c r="H51" s="172"/>
    </row>
    <row r="52" spans="1:14" ht="26.25" customHeight="1" x14ac:dyDescent="0.25">
      <c r="B52" s="85" t="s">
        <v>8</v>
      </c>
      <c r="C52" s="86"/>
      <c r="D52" s="87" t="s">
        <v>12</v>
      </c>
      <c r="E52" s="89"/>
      <c r="F52" s="90"/>
      <c r="G52" s="88">
        <f>+IF(J22&gt;K30,(J22-K30)*M9,0)</f>
        <v>0</v>
      </c>
      <c r="H52" s="695" t="str">
        <f>+IF(J22&lt;K30,"Excess credit may be used to offset Hr of further development on this land (Policy s8(6)(b)) =$"&amp;ROUND(M9*(K30-J22),0),"")</f>
        <v/>
      </c>
      <c r="I52" s="696"/>
      <c r="J52" s="696"/>
      <c r="K52" s="696"/>
    </row>
    <row r="53" spans="1:14" ht="26.25" customHeight="1" x14ac:dyDescent="0.25">
      <c r="B53" s="91" t="s">
        <v>9</v>
      </c>
      <c r="C53" s="92"/>
      <c r="D53" s="93" t="s">
        <v>13</v>
      </c>
      <c r="E53" s="94"/>
      <c r="F53" s="95"/>
      <c r="G53" s="88">
        <f>+IF(J22&gt;K38,(J22-K38)*M10,0)</f>
        <v>0</v>
      </c>
      <c r="H53" s="695" t="str">
        <f>+IF(J22&lt;K38,"Excess credit may be used to offset Hd of further development on this land (Policy s8(6)(b)) =$"&amp;ROUND(M10*(K38-J22),0),"")</f>
        <v/>
      </c>
      <c r="I53" s="696"/>
      <c r="J53" s="696"/>
      <c r="K53" s="696"/>
    </row>
    <row r="54" spans="1:14" ht="26.25" customHeight="1" x14ac:dyDescent="0.25">
      <c r="B54" s="91" t="s">
        <v>10</v>
      </c>
      <c r="C54" s="92"/>
      <c r="D54" s="96" t="s">
        <v>14</v>
      </c>
      <c r="E54" s="94"/>
      <c r="F54" s="95"/>
      <c r="G54" s="119">
        <f>+IF(J22&gt;K46,(J22-K46)*M11,0)</f>
        <v>0</v>
      </c>
      <c r="H54" s="695" t="str">
        <f>+IF(J22&lt;K46,"Excess credit may be used to offset Hm of further development on this land (Policy s8(6)(b)) =$"&amp;ROUND(M11*(K46-J22),0),"")</f>
        <v/>
      </c>
      <c r="I54" s="696"/>
      <c r="J54" s="696"/>
      <c r="K54" s="696"/>
    </row>
    <row r="55" spans="1:14" x14ac:dyDescent="0.25">
      <c r="G55" s="174"/>
    </row>
    <row r="79" spans="2:2" x14ac:dyDescent="0.25">
      <c r="B79" s="180" t="s">
        <v>534</v>
      </c>
    </row>
    <row r="81" spans="2:20" x14ac:dyDescent="0.25">
      <c r="B81" s="684" t="s">
        <v>522</v>
      </c>
      <c r="C81" s="685"/>
      <c r="D81" s="685"/>
      <c r="E81" s="686"/>
    </row>
    <row r="82" spans="2:20" x14ac:dyDescent="0.25">
      <c r="B82" s="20" t="s">
        <v>527</v>
      </c>
      <c r="C82" s="21"/>
      <c r="D82" s="21"/>
      <c r="E82" s="22"/>
    </row>
    <row r="83" spans="2:20" x14ac:dyDescent="0.25">
      <c r="B83" s="224" t="s">
        <v>523</v>
      </c>
      <c r="C83" s="188"/>
      <c r="D83" s="188"/>
      <c r="E83" s="189"/>
    </row>
    <row r="84" spans="2:20" x14ac:dyDescent="0.25">
      <c r="B84" s="225" t="s">
        <v>769</v>
      </c>
      <c r="C84" s="190"/>
      <c r="D84" s="190"/>
      <c r="E84" s="191"/>
    </row>
    <row r="87" spans="2:20" ht="12.75" customHeight="1" x14ac:dyDescent="0.25">
      <c r="B87" s="607" t="s">
        <v>589</v>
      </c>
      <c r="C87" s="608"/>
      <c r="D87" s="608"/>
      <c r="E87" s="608"/>
      <c r="F87" s="609"/>
      <c r="H87" s="700" t="s">
        <v>591</v>
      </c>
      <c r="I87" s="701"/>
      <c r="J87" s="701"/>
      <c r="K87" s="701"/>
      <c r="L87" s="702"/>
      <c r="M87" s="181"/>
      <c r="P87" s="607" t="s">
        <v>535</v>
      </c>
      <c r="Q87" s="608"/>
      <c r="R87" s="608"/>
      <c r="S87" s="608"/>
      <c r="T87" s="609"/>
    </row>
    <row r="88" spans="2:20" x14ac:dyDescent="0.25">
      <c r="B88" s="678" t="s">
        <v>580</v>
      </c>
      <c r="C88" s="679"/>
      <c r="D88" s="680"/>
      <c r="E88" s="103" t="s">
        <v>509</v>
      </c>
      <c r="F88" s="226" t="s">
        <v>835</v>
      </c>
      <c r="H88" s="697" t="s">
        <v>639</v>
      </c>
      <c r="I88" s="698"/>
      <c r="J88" s="699"/>
      <c r="K88" s="511" t="s">
        <v>509</v>
      </c>
      <c r="L88" s="524" t="s">
        <v>835</v>
      </c>
      <c r="P88" s="607" t="str">
        <f>IF($U$3=2,B88,IF($U$3=3,H88," "))</f>
        <v xml:space="preserve"> </v>
      </c>
      <c r="Q88" s="608"/>
      <c r="R88" s="609"/>
      <c r="S88" s="227" t="str">
        <f>IF($U$3=2,E88,IF($U$3=3,K88," "))</f>
        <v xml:space="preserve"> </v>
      </c>
      <c r="T88" s="228" t="str">
        <f>IF($U$3=2,F88,IF($U$3=3,L88," "))</f>
        <v xml:space="preserve"> </v>
      </c>
    </row>
    <row r="89" spans="2:20" x14ac:dyDescent="0.25">
      <c r="B89" s="20"/>
      <c r="C89" s="21"/>
      <c r="D89" s="21"/>
      <c r="E89" s="193"/>
      <c r="F89" s="193"/>
      <c r="H89" s="515" t="s">
        <v>527</v>
      </c>
      <c r="I89" s="514"/>
      <c r="J89" s="514"/>
      <c r="K89" s="520" t="s">
        <v>527</v>
      </c>
      <c r="L89" s="530" t="s">
        <v>527</v>
      </c>
      <c r="P89" s="203" t="s">
        <v>527</v>
      </c>
      <c r="Q89" s="204"/>
      <c r="R89" s="205"/>
      <c r="S89" s="206" t="s">
        <v>527</v>
      </c>
      <c r="T89" s="207" t="s">
        <v>527</v>
      </c>
    </row>
    <row r="90" spans="2:20" x14ac:dyDescent="0.25">
      <c r="B90" s="187" t="s">
        <v>468</v>
      </c>
      <c r="C90" s="188"/>
      <c r="D90" s="188"/>
      <c r="E90" s="194" t="s">
        <v>834</v>
      </c>
      <c r="F90" s="194">
        <v>2.8</v>
      </c>
      <c r="H90" s="517" t="s">
        <v>668</v>
      </c>
      <c r="I90" s="518"/>
      <c r="J90" s="518"/>
      <c r="K90" s="521" t="s">
        <v>667</v>
      </c>
      <c r="L90" s="531" t="s">
        <v>836</v>
      </c>
      <c r="P90" s="208" t="str">
        <f t="shared" ref="P90:P134" si="0">IF($U$3=2,B90,IF($U$3=3,H90," "))</f>
        <v xml:space="preserve"> </v>
      </c>
      <c r="Q90" s="209"/>
      <c r="R90" s="210"/>
      <c r="S90" s="208" t="str">
        <f t="shared" ref="S90:S134" si="1">IF($U$3=2,E90,IF($U$3=3,K90," "))</f>
        <v xml:space="preserve"> </v>
      </c>
      <c r="T90" s="229" t="str">
        <f t="shared" ref="T90:T134" si="2">IF($U$3=2,F90,IF($U$3=3,L90," "))</f>
        <v xml:space="preserve"> </v>
      </c>
    </row>
    <row r="91" spans="2:20" x14ac:dyDescent="0.25">
      <c r="B91" s="187" t="s">
        <v>469</v>
      </c>
      <c r="C91" s="188"/>
      <c r="D91" s="188"/>
      <c r="E91" s="194" t="s">
        <v>834</v>
      </c>
      <c r="F91" s="194">
        <v>2.8</v>
      </c>
      <c r="H91" s="517" t="s">
        <v>640</v>
      </c>
      <c r="I91" s="518"/>
      <c r="J91" s="518"/>
      <c r="K91" s="521" t="s">
        <v>512</v>
      </c>
      <c r="L91" s="532"/>
      <c r="P91" s="208" t="str">
        <f t="shared" si="0"/>
        <v xml:space="preserve"> </v>
      </c>
      <c r="Q91" s="209"/>
      <c r="R91" s="210"/>
      <c r="S91" s="208" t="str">
        <f t="shared" si="1"/>
        <v xml:space="preserve"> </v>
      </c>
      <c r="T91" s="229" t="str">
        <f t="shared" si="2"/>
        <v xml:space="preserve"> </v>
      </c>
    </row>
    <row r="92" spans="2:20" x14ac:dyDescent="0.25">
      <c r="B92" s="187" t="s">
        <v>470</v>
      </c>
      <c r="C92" s="188"/>
      <c r="D92" s="188"/>
      <c r="E92" s="194" t="s">
        <v>834</v>
      </c>
      <c r="F92" s="194">
        <v>2.8</v>
      </c>
      <c r="H92" s="517" t="s">
        <v>641</v>
      </c>
      <c r="I92" s="518"/>
      <c r="J92" s="518"/>
      <c r="K92" s="522" t="s">
        <v>837</v>
      </c>
      <c r="L92" s="532">
        <v>2.8</v>
      </c>
      <c r="P92" s="208" t="str">
        <f t="shared" si="0"/>
        <v xml:space="preserve"> </v>
      </c>
      <c r="Q92" s="209"/>
      <c r="R92" s="210"/>
      <c r="S92" s="208" t="str">
        <f t="shared" si="1"/>
        <v xml:space="preserve"> </v>
      </c>
      <c r="T92" s="229" t="str">
        <f t="shared" si="2"/>
        <v xml:space="preserve"> </v>
      </c>
    </row>
    <row r="93" spans="2:20" x14ac:dyDescent="0.25">
      <c r="B93" s="187" t="s">
        <v>471</v>
      </c>
      <c r="C93" s="188"/>
      <c r="D93" s="188"/>
      <c r="E93" s="194" t="s">
        <v>834</v>
      </c>
      <c r="F93" s="194">
        <v>2.8</v>
      </c>
      <c r="H93" s="517" t="s">
        <v>642</v>
      </c>
      <c r="I93" s="518"/>
      <c r="J93" s="518"/>
      <c r="K93" s="521" t="s">
        <v>512</v>
      </c>
      <c r="L93" s="532"/>
      <c r="P93" s="208" t="str">
        <f t="shared" si="0"/>
        <v xml:space="preserve"> </v>
      </c>
      <c r="Q93" s="209"/>
      <c r="R93" s="210"/>
      <c r="S93" s="208" t="str">
        <f t="shared" si="1"/>
        <v xml:space="preserve"> </v>
      </c>
      <c r="T93" s="229" t="str">
        <f t="shared" si="2"/>
        <v xml:space="preserve"> </v>
      </c>
    </row>
    <row r="94" spans="2:20" x14ac:dyDescent="0.25">
      <c r="B94" s="187" t="s">
        <v>472</v>
      </c>
      <c r="C94" s="188"/>
      <c r="D94" s="188"/>
      <c r="E94" s="194" t="s">
        <v>834</v>
      </c>
      <c r="F94" s="194">
        <v>2.8</v>
      </c>
      <c r="H94" s="523" t="s">
        <v>839</v>
      </c>
      <c r="I94" s="518"/>
      <c r="J94" s="518"/>
      <c r="K94" s="521" t="s">
        <v>672</v>
      </c>
      <c r="L94" s="532">
        <v>4.2</v>
      </c>
      <c r="P94" s="208" t="str">
        <f t="shared" si="0"/>
        <v xml:space="preserve"> </v>
      </c>
      <c r="Q94" s="209"/>
      <c r="R94" s="210"/>
      <c r="S94" s="208" t="str">
        <f t="shared" si="1"/>
        <v xml:space="preserve"> </v>
      </c>
      <c r="T94" s="229" t="str">
        <f t="shared" si="2"/>
        <v xml:space="preserve"> </v>
      </c>
    </row>
    <row r="95" spans="2:20" x14ac:dyDescent="0.25">
      <c r="B95" s="187" t="s">
        <v>473</v>
      </c>
      <c r="C95" s="188"/>
      <c r="D95" s="188"/>
      <c r="E95" s="194" t="s">
        <v>834</v>
      </c>
      <c r="F95" s="194">
        <v>2.8</v>
      </c>
      <c r="H95" s="523" t="s">
        <v>838</v>
      </c>
      <c r="I95" s="518"/>
      <c r="J95" s="518"/>
      <c r="K95" s="521" t="s">
        <v>672</v>
      </c>
      <c r="L95" s="532">
        <v>2.8</v>
      </c>
      <c r="P95" s="208" t="str">
        <f t="shared" si="0"/>
        <v xml:space="preserve"> </v>
      </c>
      <c r="Q95" s="209"/>
      <c r="R95" s="210"/>
      <c r="S95" s="208" t="str">
        <f t="shared" si="1"/>
        <v xml:space="preserve"> </v>
      </c>
      <c r="T95" s="229" t="str">
        <f t="shared" si="2"/>
        <v xml:space="preserve"> </v>
      </c>
    </row>
    <row r="96" spans="2:20" x14ac:dyDescent="0.25">
      <c r="B96" s="187" t="s">
        <v>474</v>
      </c>
      <c r="C96" s="188"/>
      <c r="D96" s="188"/>
      <c r="E96" s="194" t="s">
        <v>834</v>
      </c>
      <c r="F96" s="194">
        <v>2.8</v>
      </c>
      <c r="H96" s="523" t="s">
        <v>840</v>
      </c>
      <c r="I96" s="518"/>
      <c r="J96" s="518"/>
      <c r="K96" s="522" t="s">
        <v>841</v>
      </c>
      <c r="L96" s="531" t="s">
        <v>842</v>
      </c>
      <c r="P96" s="208" t="str">
        <f t="shared" si="0"/>
        <v xml:space="preserve"> </v>
      </c>
      <c r="Q96" s="209"/>
      <c r="R96" s="210"/>
      <c r="S96" s="208" t="str">
        <f t="shared" si="1"/>
        <v xml:space="preserve"> </v>
      </c>
      <c r="T96" s="229" t="str">
        <f t="shared" si="2"/>
        <v xml:space="preserve"> </v>
      </c>
    </row>
    <row r="97" spans="2:20" x14ac:dyDescent="0.25">
      <c r="B97" s="187" t="s">
        <v>475</v>
      </c>
      <c r="C97" s="188"/>
      <c r="D97" s="188"/>
      <c r="E97" s="194" t="s">
        <v>834</v>
      </c>
      <c r="F97" s="194">
        <v>2.8</v>
      </c>
      <c r="H97" s="517" t="s">
        <v>644</v>
      </c>
      <c r="I97" s="518"/>
      <c r="J97" s="518"/>
      <c r="K97" s="521" t="s">
        <v>675</v>
      </c>
      <c r="L97" s="532">
        <v>0.93</v>
      </c>
      <c r="P97" s="208" t="str">
        <f t="shared" si="0"/>
        <v xml:space="preserve"> </v>
      </c>
      <c r="Q97" s="209"/>
      <c r="R97" s="210"/>
      <c r="S97" s="208" t="str">
        <f t="shared" si="1"/>
        <v xml:space="preserve"> </v>
      </c>
      <c r="T97" s="229" t="str">
        <f t="shared" si="2"/>
        <v xml:space="preserve"> </v>
      </c>
    </row>
    <row r="98" spans="2:20" x14ac:dyDescent="0.25">
      <c r="B98" s="187" t="s">
        <v>476</v>
      </c>
      <c r="C98" s="188"/>
      <c r="D98" s="188"/>
      <c r="E98" s="194" t="s">
        <v>834</v>
      </c>
      <c r="F98" s="194">
        <v>2.8</v>
      </c>
      <c r="H98" s="517" t="s">
        <v>643</v>
      </c>
      <c r="I98" s="518"/>
      <c r="J98" s="518"/>
      <c r="K98" s="521" t="s">
        <v>674</v>
      </c>
      <c r="L98" s="532">
        <v>1.4</v>
      </c>
      <c r="P98" s="208" t="str">
        <f t="shared" si="0"/>
        <v xml:space="preserve"> </v>
      </c>
      <c r="Q98" s="209"/>
      <c r="R98" s="210"/>
      <c r="S98" s="208" t="str">
        <f t="shared" si="1"/>
        <v xml:space="preserve"> </v>
      </c>
      <c r="T98" s="229" t="str">
        <f t="shared" si="2"/>
        <v xml:space="preserve"> </v>
      </c>
    </row>
    <row r="99" spans="2:20" x14ac:dyDescent="0.25">
      <c r="B99" s="187" t="s">
        <v>478</v>
      </c>
      <c r="C99" s="188"/>
      <c r="D99" s="188"/>
      <c r="E99" s="194" t="s">
        <v>834</v>
      </c>
      <c r="F99" s="194">
        <v>2.8</v>
      </c>
      <c r="H99" s="517" t="s">
        <v>587</v>
      </c>
      <c r="I99" s="518"/>
      <c r="J99" s="518"/>
      <c r="K99" s="521" t="s">
        <v>676</v>
      </c>
      <c r="L99" s="532">
        <v>2.8</v>
      </c>
      <c r="P99" s="208" t="str">
        <f t="shared" si="0"/>
        <v xml:space="preserve"> </v>
      </c>
      <c r="Q99" s="209"/>
      <c r="R99" s="210"/>
      <c r="S99" s="208" t="str">
        <f t="shared" si="1"/>
        <v xml:space="preserve"> </v>
      </c>
      <c r="T99" s="229" t="str">
        <f t="shared" si="2"/>
        <v xml:space="preserve"> </v>
      </c>
    </row>
    <row r="100" spans="2:20" x14ac:dyDescent="0.25">
      <c r="B100" s="187" t="s">
        <v>479</v>
      </c>
      <c r="C100" s="188"/>
      <c r="D100" s="188"/>
      <c r="E100" s="194" t="s">
        <v>834</v>
      </c>
      <c r="F100" s="194">
        <v>2.8</v>
      </c>
      <c r="H100" s="517" t="s">
        <v>645</v>
      </c>
      <c r="I100" s="518"/>
      <c r="J100" s="518"/>
      <c r="K100" s="522" t="s">
        <v>837</v>
      </c>
      <c r="L100" s="532">
        <v>2.8</v>
      </c>
      <c r="P100" s="208" t="str">
        <f t="shared" si="0"/>
        <v xml:space="preserve"> </v>
      </c>
      <c r="Q100" s="209"/>
      <c r="R100" s="210"/>
      <c r="S100" s="208" t="str">
        <f t="shared" si="1"/>
        <v xml:space="preserve"> </v>
      </c>
      <c r="T100" s="229" t="str">
        <f t="shared" si="2"/>
        <v xml:space="preserve"> </v>
      </c>
    </row>
    <row r="101" spans="2:20" x14ac:dyDescent="0.25">
      <c r="B101" s="187" t="s">
        <v>480</v>
      </c>
      <c r="C101" s="188"/>
      <c r="D101" s="188"/>
      <c r="E101" s="194" t="s">
        <v>834</v>
      </c>
      <c r="F101" s="194">
        <v>2.8</v>
      </c>
      <c r="H101" s="517" t="s">
        <v>646</v>
      </c>
      <c r="I101" s="518"/>
      <c r="J101" s="518"/>
      <c r="K101" s="522" t="s">
        <v>837</v>
      </c>
      <c r="L101" s="532">
        <v>2.8</v>
      </c>
      <c r="P101" s="208" t="str">
        <f t="shared" si="0"/>
        <v xml:space="preserve"> </v>
      </c>
      <c r="Q101" s="209"/>
      <c r="R101" s="210"/>
      <c r="S101" s="208" t="str">
        <f t="shared" si="1"/>
        <v xml:space="preserve"> </v>
      </c>
      <c r="T101" s="229" t="str">
        <f t="shared" si="2"/>
        <v xml:space="preserve"> </v>
      </c>
    </row>
    <row r="102" spans="2:20" x14ac:dyDescent="0.25">
      <c r="B102" s="224" t="s">
        <v>833</v>
      </c>
      <c r="C102" s="188"/>
      <c r="D102" s="188"/>
      <c r="E102" s="194" t="s">
        <v>834</v>
      </c>
      <c r="F102" s="194">
        <v>2.8</v>
      </c>
      <c r="H102" s="517" t="s">
        <v>647</v>
      </c>
      <c r="I102" s="518"/>
      <c r="J102" s="518"/>
      <c r="K102" s="521" t="s">
        <v>677</v>
      </c>
      <c r="L102" s="532">
        <v>2.8</v>
      </c>
      <c r="P102" s="208" t="str">
        <f t="shared" si="0"/>
        <v xml:space="preserve"> </v>
      </c>
      <c r="Q102" s="209"/>
      <c r="R102" s="210"/>
      <c r="S102" s="208" t="str">
        <f t="shared" si="1"/>
        <v xml:space="preserve"> </v>
      </c>
      <c r="T102" s="229" t="str">
        <f t="shared" si="2"/>
        <v xml:space="preserve"> </v>
      </c>
    </row>
    <row r="103" spans="2:20" x14ac:dyDescent="0.25">
      <c r="B103" s="187" t="s">
        <v>507</v>
      </c>
      <c r="C103" s="188"/>
      <c r="D103" s="188"/>
      <c r="E103" s="194" t="s">
        <v>834</v>
      </c>
      <c r="F103" s="194">
        <v>2.8</v>
      </c>
      <c r="H103" s="517" t="s">
        <v>648</v>
      </c>
      <c r="I103" s="518"/>
      <c r="J103" s="518"/>
      <c r="K103" s="521" t="s">
        <v>512</v>
      </c>
      <c r="L103" s="532"/>
      <c r="P103" s="208" t="str">
        <f t="shared" si="0"/>
        <v xml:space="preserve"> </v>
      </c>
      <c r="Q103" s="209"/>
      <c r="R103" s="210"/>
      <c r="S103" s="208" t="str">
        <f t="shared" si="1"/>
        <v xml:space="preserve"> </v>
      </c>
      <c r="T103" s="229" t="str">
        <f t="shared" si="2"/>
        <v xml:space="preserve"> </v>
      </c>
    </row>
    <row r="104" spans="2:20" x14ac:dyDescent="0.25">
      <c r="B104" s="187" t="s">
        <v>506</v>
      </c>
      <c r="C104" s="188"/>
      <c r="D104" s="188"/>
      <c r="E104" s="194" t="s">
        <v>834</v>
      </c>
      <c r="F104" s="194">
        <v>2.8</v>
      </c>
      <c r="H104" s="517" t="s">
        <v>649</v>
      </c>
      <c r="I104" s="518"/>
      <c r="J104" s="518"/>
      <c r="K104" s="521" t="s">
        <v>678</v>
      </c>
      <c r="L104" s="532">
        <v>4.9000000000000004</v>
      </c>
      <c r="P104" s="208" t="str">
        <f t="shared" si="0"/>
        <v xml:space="preserve"> </v>
      </c>
      <c r="Q104" s="209"/>
      <c r="R104" s="210"/>
      <c r="S104" s="208" t="str">
        <f t="shared" si="1"/>
        <v xml:space="preserve"> </v>
      </c>
      <c r="T104" s="229" t="str">
        <f t="shared" si="2"/>
        <v xml:space="preserve"> </v>
      </c>
    </row>
    <row r="105" spans="2:20" x14ac:dyDescent="0.25">
      <c r="B105" s="187" t="s">
        <v>731</v>
      </c>
      <c r="C105" s="188"/>
      <c r="D105" s="188"/>
      <c r="E105" s="194" t="s">
        <v>834</v>
      </c>
      <c r="F105" s="194">
        <v>2.8</v>
      </c>
      <c r="H105" s="517" t="s">
        <v>650</v>
      </c>
      <c r="I105" s="518"/>
      <c r="J105" s="518"/>
      <c r="K105" s="521" t="s">
        <v>679</v>
      </c>
      <c r="L105" s="532">
        <v>2.8</v>
      </c>
      <c r="P105" s="208" t="str">
        <f t="shared" si="0"/>
        <v xml:space="preserve"> </v>
      </c>
      <c r="Q105" s="209"/>
      <c r="R105" s="210"/>
      <c r="S105" s="208" t="str">
        <f t="shared" si="1"/>
        <v xml:space="preserve"> </v>
      </c>
      <c r="T105" s="229" t="str">
        <f t="shared" si="2"/>
        <v xml:space="preserve"> </v>
      </c>
    </row>
    <row r="106" spans="2:20" x14ac:dyDescent="0.25">
      <c r="B106" s="187" t="s">
        <v>762</v>
      </c>
      <c r="C106" s="188"/>
      <c r="D106" s="188"/>
      <c r="E106" s="194" t="s">
        <v>512</v>
      </c>
      <c r="F106" s="194" t="s">
        <v>527</v>
      </c>
      <c r="H106" s="517" t="s">
        <v>519</v>
      </c>
      <c r="I106" s="518"/>
      <c r="J106" s="518"/>
      <c r="K106" s="522" t="s">
        <v>837</v>
      </c>
      <c r="L106" s="532">
        <v>2.8</v>
      </c>
      <c r="P106" s="208" t="str">
        <f t="shared" si="0"/>
        <v xml:space="preserve"> </v>
      </c>
      <c r="Q106" s="209"/>
      <c r="R106" s="210"/>
      <c r="S106" s="208" t="str">
        <f t="shared" si="1"/>
        <v xml:space="preserve"> </v>
      </c>
      <c r="T106" s="229" t="str">
        <f t="shared" si="2"/>
        <v xml:space="preserve"> </v>
      </c>
    </row>
    <row r="107" spans="2:20" x14ac:dyDescent="0.25">
      <c r="B107" s="187" t="s">
        <v>518</v>
      </c>
      <c r="C107" s="188"/>
      <c r="D107" s="188"/>
      <c r="E107" s="194" t="s">
        <v>512</v>
      </c>
      <c r="F107" s="194" t="s">
        <v>527</v>
      </c>
      <c r="H107" s="517" t="s">
        <v>651</v>
      </c>
      <c r="I107" s="518"/>
      <c r="J107" s="518"/>
      <c r="K107" s="521" t="s">
        <v>512</v>
      </c>
      <c r="L107" s="532"/>
      <c r="P107" s="208" t="str">
        <f t="shared" si="0"/>
        <v xml:space="preserve"> </v>
      </c>
      <c r="Q107" s="209"/>
      <c r="R107" s="210"/>
      <c r="S107" s="208" t="str">
        <f t="shared" si="1"/>
        <v xml:space="preserve"> </v>
      </c>
      <c r="T107" s="229" t="str">
        <f t="shared" si="2"/>
        <v xml:space="preserve"> </v>
      </c>
    </row>
    <row r="108" spans="2:20" x14ac:dyDescent="0.25">
      <c r="B108" s="187" t="s">
        <v>732</v>
      </c>
      <c r="C108" s="188"/>
      <c r="D108" s="188"/>
      <c r="E108" s="194" t="s">
        <v>512</v>
      </c>
      <c r="F108" s="194" t="s">
        <v>527</v>
      </c>
      <c r="H108" s="517" t="s">
        <v>652</v>
      </c>
      <c r="I108" s="518"/>
      <c r="J108" s="518"/>
      <c r="K108" s="522" t="s">
        <v>837</v>
      </c>
      <c r="L108" s="532">
        <v>2.8</v>
      </c>
      <c r="P108" s="208" t="str">
        <f t="shared" si="0"/>
        <v xml:space="preserve"> </v>
      </c>
      <c r="Q108" s="209"/>
      <c r="R108" s="210"/>
      <c r="S108" s="208" t="str">
        <f t="shared" si="1"/>
        <v xml:space="preserve"> </v>
      </c>
      <c r="T108" s="229" t="str">
        <f t="shared" si="2"/>
        <v xml:space="preserve"> </v>
      </c>
    </row>
    <row r="109" spans="2:20" x14ac:dyDescent="0.25">
      <c r="B109" s="187" t="s">
        <v>733</v>
      </c>
      <c r="C109" s="188"/>
      <c r="D109" s="188"/>
      <c r="E109" s="194" t="s">
        <v>834</v>
      </c>
      <c r="F109" s="194">
        <v>2.8</v>
      </c>
      <c r="H109" s="517" t="s">
        <v>588</v>
      </c>
      <c r="I109" s="518"/>
      <c r="J109" s="518"/>
      <c r="K109" s="521" t="s">
        <v>512</v>
      </c>
      <c r="L109" s="532"/>
      <c r="P109" s="208" t="str">
        <f t="shared" si="0"/>
        <v xml:space="preserve"> </v>
      </c>
      <c r="Q109" s="209"/>
      <c r="R109" s="210"/>
      <c r="S109" s="208" t="str">
        <f t="shared" si="1"/>
        <v xml:space="preserve"> </v>
      </c>
      <c r="T109" s="229" t="str">
        <f t="shared" si="2"/>
        <v xml:space="preserve"> </v>
      </c>
    </row>
    <row r="110" spans="2:20" x14ac:dyDescent="0.25">
      <c r="B110" s="187" t="s">
        <v>734</v>
      </c>
      <c r="C110" s="188"/>
      <c r="D110" s="188"/>
      <c r="E110" s="194" t="s">
        <v>834</v>
      </c>
      <c r="F110" s="194">
        <v>2.8</v>
      </c>
      <c r="H110" s="517" t="s">
        <v>653</v>
      </c>
      <c r="I110" s="518"/>
      <c r="J110" s="518"/>
      <c r="K110" s="522" t="s">
        <v>837</v>
      </c>
      <c r="L110" s="532">
        <v>5.6</v>
      </c>
      <c r="P110" s="208" t="str">
        <f t="shared" si="0"/>
        <v xml:space="preserve"> </v>
      </c>
      <c r="Q110" s="209"/>
      <c r="R110" s="210"/>
      <c r="S110" s="208" t="str">
        <f t="shared" si="1"/>
        <v xml:space="preserve"> </v>
      </c>
      <c r="T110" s="229" t="str">
        <f t="shared" si="2"/>
        <v xml:space="preserve"> </v>
      </c>
    </row>
    <row r="111" spans="2:20" x14ac:dyDescent="0.25">
      <c r="B111" s="224" t="s">
        <v>735</v>
      </c>
      <c r="C111" s="188"/>
      <c r="D111" s="188"/>
      <c r="E111" s="194" t="s">
        <v>834</v>
      </c>
      <c r="F111" s="194">
        <v>2.8</v>
      </c>
      <c r="H111" s="517" t="s">
        <v>654</v>
      </c>
      <c r="I111" s="518"/>
      <c r="J111" s="518"/>
      <c r="K111" s="522" t="s">
        <v>837</v>
      </c>
      <c r="L111" s="532">
        <v>2.8</v>
      </c>
      <c r="P111" s="208" t="str">
        <f t="shared" si="0"/>
        <v xml:space="preserve"> </v>
      </c>
      <c r="Q111" s="209"/>
      <c r="R111" s="210"/>
      <c r="S111" s="208" t="str">
        <f t="shared" si="1"/>
        <v xml:space="preserve"> </v>
      </c>
      <c r="T111" s="229" t="str">
        <f t="shared" si="2"/>
        <v xml:space="preserve"> </v>
      </c>
    </row>
    <row r="112" spans="2:20" x14ac:dyDescent="0.25">
      <c r="B112" s="232" t="s">
        <v>513</v>
      </c>
      <c r="C112" s="188"/>
      <c r="D112" s="188"/>
      <c r="E112" s="194" t="s">
        <v>512</v>
      </c>
      <c r="F112" s="194" t="s">
        <v>527</v>
      </c>
      <c r="H112" s="517" t="s">
        <v>655</v>
      </c>
      <c r="I112" s="518"/>
      <c r="J112" s="518"/>
      <c r="K112" s="522" t="s">
        <v>837</v>
      </c>
      <c r="L112" s="532">
        <v>2.8</v>
      </c>
      <c r="P112" s="208" t="str">
        <f t="shared" si="0"/>
        <v xml:space="preserve"> </v>
      </c>
      <c r="Q112" s="209"/>
      <c r="R112" s="210"/>
      <c r="S112" s="208" t="str">
        <f t="shared" si="1"/>
        <v xml:space="preserve"> </v>
      </c>
      <c r="T112" s="229" t="str">
        <f t="shared" si="2"/>
        <v xml:space="preserve"> </v>
      </c>
    </row>
    <row r="113" spans="2:20" x14ac:dyDescent="0.25">
      <c r="B113" s="232"/>
      <c r="C113" s="188"/>
      <c r="D113" s="188"/>
      <c r="E113" s="194"/>
      <c r="F113" s="194" t="s">
        <v>527</v>
      </c>
      <c r="H113" s="517" t="s">
        <v>656</v>
      </c>
      <c r="I113" s="518"/>
      <c r="J113" s="518"/>
      <c r="K113" s="522" t="s">
        <v>837</v>
      </c>
      <c r="L113" s="532">
        <v>2.8</v>
      </c>
      <c r="P113" s="208" t="str">
        <f t="shared" si="0"/>
        <v xml:space="preserve"> </v>
      </c>
      <c r="Q113" s="209"/>
      <c r="R113" s="210"/>
      <c r="S113" s="208" t="str">
        <f t="shared" si="1"/>
        <v xml:space="preserve"> </v>
      </c>
      <c r="T113" s="229" t="str">
        <f t="shared" si="2"/>
        <v xml:space="preserve"> </v>
      </c>
    </row>
    <row r="114" spans="2:20" x14ac:dyDescent="0.25">
      <c r="B114" s="187" t="s">
        <v>527</v>
      </c>
      <c r="C114" s="188"/>
      <c r="D114" s="188"/>
      <c r="E114" s="194" t="s">
        <v>527</v>
      </c>
      <c r="F114" s="194" t="s">
        <v>527</v>
      </c>
      <c r="H114" s="517" t="s">
        <v>659</v>
      </c>
      <c r="I114" s="518"/>
      <c r="J114" s="518"/>
      <c r="K114" s="522" t="s">
        <v>837</v>
      </c>
      <c r="L114" s="532">
        <v>2.8</v>
      </c>
      <c r="P114" s="208" t="str">
        <f t="shared" si="0"/>
        <v xml:space="preserve"> </v>
      </c>
      <c r="Q114" s="209"/>
      <c r="R114" s="210"/>
      <c r="S114" s="208" t="str">
        <f t="shared" si="1"/>
        <v xml:space="preserve"> </v>
      </c>
      <c r="T114" s="229" t="str">
        <f t="shared" si="2"/>
        <v xml:space="preserve"> </v>
      </c>
    </row>
    <row r="115" spans="2:20" x14ac:dyDescent="0.25">
      <c r="B115" s="107" t="s">
        <v>527</v>
      </c>
      <c r="C115" s="190"/>
      <c r="D115" s="190"/>
      <c r="E115" s="195" t="s">
        <v>527</v>
      </c>
      <c r="F115" s="195" t="s">
        <v>527</v>
      </c>
      <c r="H115" s="517" t="s">
        <v>657</v>
      </c>
      <c r="I115" s="518"/>
      <c r="J115" s="518"/>
      <c r="K115" s="522" t="s">
        <v>837</v>
      </c>
      <c r="L115" s="532">
        <v>2.8</v>
      </c>
      <c r="P115" s="208" t="str">
        <f t="shared" si="0"/>
        <v xml:space="preserve"> </v>
      </c>
      <c r="Q115" s="209"/>
      <c r="R115" s="210"/>
      <c r="S115" s="208" t="str">
        <f t="shared" si="1"/>
        <v xml:space="preserve"> </v>
      </c>
      <c r="T115" s="229" t="str">
        <f t="shared" si="2"/>
        <v xml:space="preserve"> </v>
      </c>
    </row>
    <row r="116" spans="2:20" x14ac:dyDescent="0.25">
      <c r="B116" s="132" t="s">
        <v>527</v>
      </c>
      <c r="E116" s="132" t="s">
        <v>527</v>
      </c>
      <c r="F116" s="132" t="s">
        <v>527</v>
      </c>
      <c r="H116" s="517" t="s">
        <v>658</v>
      </c>
      <c r="I116" s="518"/>
      <c r="J116" s="518"/>
      <c r="K116" s="521" t="s">
        <v>672</v>
      </c>
      <c r="L116" s="532">
        <v>2.8</v>
      </c>
      <c r="P116" s="208" t="str">
        <f t="shared" si="0"/>
        <v xml:space="preserve"> </v>
      </c>
      <c r="Q116" s="209"/>
      <c r="R116" s="210"/>
      <c r="S116" s="208" t="str">
        <f t="shared" si="1"/>
        <v xml:space="preserve"> </v>
      </c>
      <c r="T116" s="229" t="str">
        <f t="shared" si="2"/>
        <v xml:space="preserve"> </v>
      </c>
    </row>
    <row r="117" spans="2:20" x14ac:dyDescent="0.25">
      <c r="B117" s="132" t="s">
        <v>527</v>
      </c>
      <c r="E117" s="132" t="s">
        <v>527</v>
      </c>
      <c r="F117" s="132" t="s">
        <v>527</v>
      </c>
      <c r="H117" s="517" t="s">
        <v>660</v>
      </c>
      <c r="I117" s="518"/>
      <c r="J117" s="518"/>
      <c r="K117" s="522" t="s">
        <v>837</v>
      </c>
      <c r="L117" s="532">
        <v>1.4</v>
      </c>
      <c r="P117" s="208" t="str">
        <f t="shared" si="0"/>
        <v xml:space="preserve"> </v>
      </c>
      <c r="Q117" s="209"/>
      <c r="R117" s="210"/>
      <c r="S117" s="208" t="str">
        <f t="shared" si="1"/>
        <v xml:space="preserve"> </v>
      </c>
      <c r="T117" s="229" t="str">
        <f t="shared" si="2"/>
        <v xml:space="preserve"> </v>
      </c>
    </row>
    <row r="118" spans="2:20" x14ac:dyDescent="0.25">
      <c r="B118" s="132" t="s">
        <v>527</v>
      </c>
      <c r="E118" s="132" t="s">
        <v>527</v>
      </c>
      <c r="F118" s="132" t="s">
        <v>527</v>
      </c>
      <c r="H118" s="517" t="s">
        <v>515</v>
      </c>
      <c r="I118" s="518"/>
      <c r="J118" s="518"/>
      <c r="K118" s="522" t="s">
        <v>837</v>
      </c>
      <c r="L118" s="532">
        <v>2.8</v>
      </c>
      <c r="P118" s="208" t="str">
        <f t="shared" si="0"/>
        <v xml:space="preserve"> </v>
      </c>
      <c r="Q118" s="209"/>
      <c r="R118" s="210"/>
      <c r="S118" s="208" t="str">
        <f t="shared" si="1"/>
        <v xml:space="preserve"> </v>
      </c>
      <c r="T118" s="229" t="str">
        <f t="shared" si="2"/>
        <v xml:space="preserve"> </v>
      </c>
    </row>
    <row r="119" spans="2:20" x14ac:dyDescent="0.25">
      <c r="B119" s="132" t="s">
        <v>527</v>
      </c>
      <c r="E119" s="132" t="s">
        <v>527</v>
      </c>
      <c r="F119" s="132" t="s">
        <v>527</v>
      </c>
      <c r="H119" s="517" t="s">
        <v>661</v>
      </c>
      <c r="I119" s="518"/>
      <c r="J119" s="518"/>
      <c r="K119" s="522" t="s">
        <v>837</v>
      </c>
      <c r="L119" s="532">
        <v>2.8</v>
      </c>
      <c r="P119" s="208" t="str">
        <f t="shared" si="0"/>
        <v xml:space="preserve"> </v>
      </c>
      <c r="Q119" s="209"/>
      <c r="R119" s="210"/>
      <c r="S119" s="208" t="str">
        <f t="shared" si="1"/>
        <v xml:space="preserve"> </v>
      </c>
      <c r="T119" s="229" t="str">
        <f t="shared" si="2"/>
        <v xml:space="preserve"> </v>
      </c>
    </row>
    <row r="120" spans="2:20" x14ac:dyDescent="0.25">
      <c r="B120" s="132" t="s">
        <v>527</v>
      </c>
      <c r="E120" s="132" t="s">
        <v>527</v>
      </c>
      <c r="F120" s="132" t="s">
        <v>527</v>
      </c>
      <c r="H120" s="517" t="s">
        <v>516</v>
      </c>
      <c r="I120" s="518"/>
      <c r="J120" s="518"/>
      <c r="K120" s="521" t="s">
        <v>680</v>
      </c>
      <c r="L120" s="532">
        <v>0.93</v>
      </c>
      <c r="P120" s="208" t="str">
        <f t="shared" si="0"/>
        <v xml:space="preserve"> </v>
      </c>
      <c r="Q120" s="209"/>
      <c r="R120" s="210"/>
      <c r="S120" s="208" t="str">
        <f t="shared" si="1"/>
        <v xml:space="preserve"> </v>
      </c>
      <c r="T120" s="229" t="str">
        <f t="shared" si="2"/>
        <v xml:space="preserve"> </v>
      </c>
    </row>
    <row r="121" spans="2:20" x14ac:dyDescent="0.25">
      <c r="B121" s="132" t="s">
        <v>527</v>
      </c>
      <c r="E121" s="132" t="s">
        <v>527</v>
      </c>
      <c r="F121" s="132" t="s">
        <v>527</v>
      </c>
      <c r="H121" s="517" t="s">
        <v>681</v>
      </c>
      <c r="I121" s="518"/>
      <c r="J121" s="518"/>
      <c r="K121" s="521" t="s">
        <v>682</v>
      </c>
      <c r="L121" s="531" t="s">
        <v>843</v>
      </c>
      <c r="P121" s="208" t="str">
        <f t="shared" si="0"/>
        <v xml:space="preserve"> </v>
      </c>
      <c r="Q121" s="209"/>
      <c r="R121" s="210"/>
      <c r="S121" s="208" t="str">
        <f t="shared" si="1"/>
        <v xml:space="preserve"> </v>
      </c>
      <c r="T121" s="229" t="str">
        <f t="shared" si="2"/>
        <v xml:space="preserve"> </v>
      </c>
    </row>
    <row r="122" spans="2:20" x14ac:dyDescent="0.25">
      <c r="B122" s="132" t="s">
        <v>527</v>
      </c>
      <c r="E122" s="132" t="s">
        <v>527</v>
      </c>
      <c r="F122" s="132" t="s">
        <v>527</v>
      </c>
      <c r="H122" s="517" t="s">
        <v>662</v>
      </c>
      <c r="I122" s="518"/>
      <c r="J122" s="518"/>
      <c r="K122" s="522" t="s">
        <v>837</v>
      </c>
      <c r="L122" s="532">
        <v>2.1</v>
      </c>
      <c r="P122" s="208" t="str">
        <f t="shared" si="0"/>
        <v xml:space="preserve"> </v>
      </c>
      <c r="Q122" s="209"/>
      <c r="R122" s="210"/>
      <c r="S122" s="208" t="str">
        <f t="shared" si="1"/>
        <v xml:space="preserve"> </v>
      </c>
      <c r="T122" s="229" t="str">
        <f t="shared" si="2"/>
        <v xml:space="preserve"> </v>
      </c>
    </row>
    <row r="123" spans="2:20" x14ac:dyDescent="0.25">
      <c r="B123" s="132" t="s">
        <v>527</v>
      </c>
      <c r="E123" s="132" t="s">
        <v>527</v>
      </c>
      <c r="F123" s="132" t="s">
        <v>527</v>
      </c>
      <c r="H123" s="517" t="s">
        <v>663</v>
      </c>
      <c r="I123" s="518"/>
      <c r="J123" s="518"/>
      <c r="K123" s="521" t="s">
        <v>512</v>
      </c>
      <c r="L123" s="532"/>
      <c r="P123" s="208" t="str">
        <f t="shared" si="0"/>
        <v xml:space="preserve"> </v>
      </c>
      <c r="Q123" s="209"/>
      <c r="R123" s="210"/>
      <c r="S123" s="208" t="str">
        <f t="shared" si="1"/>
        <v xml:space="preserve"> </v>
      </c>
      <c r="T123" s="229" t="str">
        <f t="shared" si="2"/>
        <v xml:space="preserve"> </v>
      </c>
    </row>
    <row r="124" spans="2:20" x14ac:dyDescent="0.25">
      <c r="B124" s="132" t="s">
        <v>527</v>
      </c>
      <c r="E124" s="132" t="s">
        <v>527</v>
      </c>
      <c r="F124" s="132" t="s">
        <v>527</v>
      </c>
      <c r="H124" s="517" t="s">
        <v>664</v>
      </c>
      <c r="I124" s="518"/>
      <c r="J124" s="518"/>
      <c r="K124" s="521" t="s">
        <v>512</v>
      </c>
      <c r="L124" s="532"/>
      <c r="P124" s="208" t="str">
        <f t="shared" si="0"/>
        <v xml:space="preserve"> </v>
      </c>
      <c r="Q124" s="209"/>
      <c r="R124" s="210"/>
      <c r="S124" s="208" t="str">
        <f t="shared" si="1"/>
        <v xml:space="preserve"> </v>
      </c>
      <c r="T124" s="229" t="str">
        <f t="shared" si="2"/>
        <v xml:space="preserve"> </v>
      </c>
    </row>
    <row r="125" spans="2:20" x14ac:dyDescent="0.25">
      <c r="B125" s="132" t="s">
        <v>527</v>
      </c>
      <c r="E125" s="132" t="s">
        <v>527</v>
      </c>
      <c r="F125" s="132" t="s">
        <v>527</v>
      </c>
      <c r="H125" s="517" t="s">
        <v>665</v>
      </c>
      <c r="I125" s="518"/>
      <c r="J125" s="518"/>
      <c r="K125" s="521" t="s">
        <v>512</v>
      </c>
      <c r="L125" s="532"/>
      <c r="P125" s="208" t="str">
        <f t="shared" si="0"/>
        <v xml:space="preserve"> </v>
      </c>
      <c r="Q125" s="209"/>
      <c r="R125" s="210"/>
      <c r="S125" s="208" t="str">
        <f t="shared" si="1"/>
        <v xml:space="preserve"> </v>
      </c>
      <c r="T125" s="229" t="str">
        <f t="shared" si="2"/>
        <v xml:space="preserve"> </v>
      </c>
    </row>
    <row r="126" spans="2:20" x14ac:dyDescent="0.25">
      <c r="B126" s="132" t="s">
        <v>527</v>
      </c>
      <c r="E126" s="132" t="s">
        <v>527</v>
      </c>
      <c r="F126" s="132" t="s">
        <v>527</v>
      </c>
      <c r="H126" s="517" t="s">
        <v>666</v>
      </c>
      <c r="I126" s="518"/>
      <c r="J126" s="518"/>
      <c r="K126" s="522" t="s">
        <v>837</v>
      </c>
      <c r="L126" s="532">
        <v>2.8</v>
      </c>
      <c r="P126" s="208" t="str">
        <f t="shared" si="0"/>
        <v xml:space="preserve"> </v>
      </c>
      <c r="Q126" s="209"/>
      <c r="R126" s="210"/>
      <c r="S126" s="208" t="str">
        <f t="shared" si="1"/>
        <v xml:space="preserve"> </v>
      </c>
      <c r="T126" s="229" t="str">
        <f t="shared" si="2"/>
        <v xml:space="preserve"> </v>
      </c>
    </row>
    <row r="127" spans="2:20" x14ac:dyDescent="0.25">
      <c r="B127" s="132" t="s">
        <v>527</v>
      </c>
      <c r="E127" s="132" t="s">
        <v>527</v>
      </c>
      <c r="F127" s="132" t="s">
        <v>527</v>
      </c>
      <c r="H127" s="517" t="s">
        <v>705</v>
      </c>
      <c r="I127" s="518"/>
      <c r="J127" s="518"/>
      <c r="K127" s="522" t="s">
        <v>837</v>
      </c>
      <c r="L127" s="532">
        <v>2.8</v>
      </c>
      <c r="P127" s="208" t="str">
        <f t="shared" si="0"/>
        <v xml:space="preserve"> </v>
      </c>
      <c r="Q127" s="209"/>
      <c r="R127" s="210"/>
      <c r="S127" s="208" t="str">
        <f t="shared" si="1"/>
        <v xml:space="preserve"> </v>
      </c>
      <c r="T127" s="229" t="str">
        <f t="shared" si="2"/>
        <v xml:space="preserve"> </v>
      </c>
    </row>
    <row r="128" spans="2:20" x14ac:dyDescent="0.25">
      <c r="B128" s="132" t="s">
        <v>527</v>
      </c>
      <c r="E128" s="132" t="s">
        <v>527</v>
      </c>
      <c r="F128" s="132" t="s">
        <v>527</v>
      </c>
      <c r="H128" s="517" t="s">
        <v>706</v>
      </c>
      <c r="I128" s="518"/>
      <c r="J128" s="518"/>
      <c r="K128" s="521" t="s">
        <v>512</v>
      </c>
      <c r="L128" s="532"/>
      <c r="P128" s="208" t="str">
        <f t="shared" si="0"/>
        <v xml:space="preserve"> </v>
      </c>
      <c r="Q128" s="209"/>
      <c r="R128" s="210"/>
      <c r="S128" s="208" t="str">
        <f t="shared" si="1"/>
        <v xml:space="preserve"> </v>
      </c>
      <c r="T128" s="229" t="str">
        <f t="shared" si="2"/>
        <v xml:space="preserve"> </v>
      </c>
    </row>
    <row r="129" spans="2:23" ht="14.4" x14ac:dyDescent="0.3">
      <c r="B129" s="132" t="s">
        <v>527</v>
      </c>
      <c r="E129" s="132" t="s">
        <v>527</v>
      </c>
      <c r="F129" s="132" t="s">
        <v>527</v>
      </c>
      <c r="H129" s="526" t="s">
        <v>858</v>
      </c>
      <c r="I129" s="527"/>
      <c r="J129" s="527"/>
      <c r="K129" s="528" t="s">
        <v>672</v>
      </c>
      <c r="L129" s="533">
        <v>2.8</v>
      </c>
      <c r="P129" s="208" t="str">
        <f t="shared" si="0"/>
        <v xml:space="preserve"> </v>
      </c>
      <c r="Q129" s="209"/>
      <c r="R129" s="210"/>
      <c r="S129" s="208" t="str">
        <f t="shared" si="1"/>
        <v xml:space="preserve"> </v>
      </c>
      <c r="T129" s="229" t="str">
        <f t="shared" si="2"/>
        <v xml:space="preserve"> </v>
      </c>
    </row>
    <row r="130" spans="2:23" ht="14.4" x14ac:dyDescent="0.3">
      <c r="B130" s="132" t="s">
        <v>527</v>
      </c>
      <c r="E130" s="132" t="s">
        <v>527</v>
      </c>
      <c r="F130" s="132" t="s">
        <v>527</v>
      </c>
      <c r="H130" s="526" t="s">
        <v>859</v>
      </c>
      <c r="I130" s="527"/>
      <c r="J130" s="527"/>
      <c r="K130" s="528" t="s">
        <v>672</v>
      </c>
      <c r="L130" s="533">
        <v>4.2</v>
      </c>
      <c r="P130" s="208" t="str">
        <f t="shared" si="0"/>
        <v xml:space="preserve"> </v>
      </c>
      <c r="Q130" s="209"/>
      <c r="R130" s="210"/>
      <c r="S130" s="208" t="str">
        <f t="shared" si="1"/>
        <v xml:space="preserve"> </v>
      </c>
      <c r="T130" s="229" t="str">
        <f t="shared" si="2"/>
        <v xml:space="preserve"> </v>
      </c>
      <c r="W130" s="158"/>
    </row>
    <row r="131" spans="2:23" ht="14.4" x14ac:dyDescent="0.3">
      <c r="B131" s="132" t="s">
        <v>527</v>
      </c>
      <c r="E131" s="132" t="s">
        <v>527</v>
      </c>
      <c r="F131" s="132" t="s">
        <v>527</v>
      </c>
      <c r="H131" s="526" t="s">
        <v>860</v>
      </c>
      <c r="I131" s="527"/>
      <c r="J131" s="527"/>
      <c r="K131" s="528" t="s">
        <v>861</v>
      </c>
      <c r="L131" s="533" t="s">
        <v>862</v>
      </c>
      <c r="P131" s="208" t="str">
        <f t="shared" si="0"/>
        <v xml:space="preserve"> </v>
      </c>
      <c r="Q131" s="209"/>
      <c r="R131" s="210"/>
      <c r="S131" s="208" t="str">
        <f t="shared" si="1"/>
        <v xml:space="preserve"> </v>
      </c>
      <c r="T131" s="229" t="str">
        <f t="shared" si="2"/>
        <v xml:space="preserve"> </v>
      </c>
      <c r="W131" s="158"/>
    </row>
    <row r="132" spans="2:23" ht="14.4" x14ac:dyDescent="0.3">
      <c r="B132" s="132" t="s">
        <v>527</v>
      </c>
      <c r="E132" s="132" t="s">
        <v>527</v>
      </c>
      <c r="F132" s="132" t="s">
        <v>527</v>
      </c>
      <c r="H132" s="526" t="s">
        <v>258</v>
      </c>
      <c r="I132" s="527"/>
      <c r="J132" s="527"/>
      <c r="K132" s="528" t="s">
        <v>512</v>
      </c>
      <c r="L132" s="533"/>
      <c r="P132" s="208" t="str">
        <f t="shared" si="0"/>
        <v xml:space="preserve"> </v>
      </c>
      <c r="Q132" s="209"/>
      <c r="R132" s="210"/>
      <c r="S132" s="208" t="str">
        <f t="shared" si="1"/>
        <v xml:space="preserve"> </v>
      </c>
      <c r="T132" s="229" t="str">
        <f t="shared" si="2"/>
        <v xml:space="preserve"> </v>
      </c>
      <c r="W132" s="158"/>
    </row>
    <row r="133" spans="2:23" ht="14.4" x14ac:dyDescent="0.3">
      <c r="B133" s="132" t="s">
        <v>527</v>
      </c>
      <c r="E133" s="132" t="s">
        <v>527</v>
      </c>
      <c r="F133" s="132" t="s">
        <v>527</v>
      </c>
      <c r="H133" s="526" t="s">
        <v>863</v>
      </c>
      <c r="I133" s="527"/>
      <c r="J133" s="527"/>
      <c r="K133" s="528" t="s">
        <v>672</v>
      </c>
      <c r="L133" s="533">
        <v>2.8</v>
      </c>
      <c r="P133" s="208" t="str">
        <f t="shared" si="0"/>
        <v xml:space="preserve"> </v>
      </c>
      <c r="Q133" s="209"/>
      <c r="R133" s="210"/>
      <c r="S133" s="208" t="str">
        <f t="shared" si="1"/>
        <v xml:space="preserve"> </v>
      </c>
      <c r="T133" s="229" t="str">
        <f t="shared" si="2"/>
        <v xml:space="preserve"> </v>
      </c>
      <c r="W133" s="158"/>
    </row>
    <row r="134" spans="2:23" ht="14.4" x14ac:dyDescent="0.3">
      <c r="B134" s="132" t="s">
        <v>527</v>
      </c>
      <c r="E134" s="132" t="s">
        <v>527</v>
      </c>
      <c r="F134" s="132" t="s">
        <v>527</v>
      </c>
      <c r="H134" s="526" t="s">
        <v>864</v>
      </c>
      <c r="I134" s="527"/>
      <c r="J134" s="527"/>
      <c r="K134" s="528" t="s">
        <v>672</v>
      </c>
      <c r="L134" s="533">
        <v>4.2</v>
      </c>
      <c r="P134" s="208" t="str">
        <f t="shared" si="0"/>
        <v xml:space="preserve"> </v>
      </c>
      <c r="Q134" s="209"/>
      <c r="R134" s="210"/>
      <c r="S134" s="208" t="str">
        <f t="shared" si="1"/>
        <v xml:space="preserve"> </v>
      </c>
      <c r="T134" s="229" t="str">
        <f t="shared" si="2"/>
        <v xml:space="preserve"> </v>
      </c>
      <c r="W134" s="158"/>
    </row>
    <row r="135" spans="2:23" ht="14.4" x14ac:dyDescent="0.3">
      <c r="B135" s="132" t="s">
        <v>527</v>
      </c>
      <c r="E135" s="132" t="s">
        <v>527</v>
      </c>
      <c r="F135" s="132" t="s">
        <v>527</v>
      </c>
      <c r="H135" s="526" t="s">
        <v>865</v>
      </c>
      <c r="I135" s="527"/>
      <c r="J135" s="527"/>
      <c r="K135" s="528" t="s">
        <v>861</v>
      </c>
      <c r="L135" s="533" t="s">
        <v>862</v>
      </c>
      <c r="P135" s="208" t="str">
        <f t="shared" ref="P135:P149" si="3">IF($U$3=2,B135,IF($U$3=3,H135," "))</f>
        <v xml:space="preserve"> </v>
      </c>
      <c r="Q135" s="209"/>
      <c r="R135" s="210"/>
      <c r="S135" s="208" t="str">
        <f t="shared" ref="S135:S149" si="4">IF($U$3=2,E135,IF($U$3=3,K135," "))</f>
        <v xml:space="preserve"> </v>
      </c>
      <c r="T135" s="229" t="str">
        <f t="shared" ref="T135:T149" si="5">IF($U$3=2,F135,IF($U$3=3,L135," "))</f>
        <v xml:space="preserve"> </v>
      </c>
      <c r="W135" s="158"/>
    </row>
    <row r="136" spans="2:23" ht="14.4" x14ac:dyDescent="0.3">
      <c r="B136" s="132" t="s">
        <v>527</v>
      </c>
      <c r="E136" s="132" t="s">
        <v>527</v>
      </c>
      <c r="F136" s="132" t="s">
        <v>527</v>
      </c>
      <c r="H136" s="526" t="s">
        <v>259</v>
      </c>
      <c r="I136" s="527"/>
      <c r="J136" s="527"/>
      <c r="K136" s="528" t="s">
        <v>866</v>
      </c>
      <c r="L136" s="533">
        <v>2.8000000000000001E-2</v>
      </c>
      <c r="P136" s="208" t="str">
        <f t="shared" si="3"/>
        <v xml:space="preserve"> </v>
      </c>
      <c r="Q136" s="209"/>
      <c r="R136" s="210"/>
      <c r="S136" s="208" t="str">
        <f t="shared" si="4"/>
        <v xml:space="preserve"> </v>
      </c>
      <c r="T136" s="229" t="str">
        <f t="shared" si="5"/>
        <v xml:space="preserve"> </v>
      </c>
      <c r="W136" s="158"/>
    </row>
    <row r="137" spans="2:23" ht="14.4" x14ac:dyDescent="0.3">
      <c r="B137" s="132" t="s">
        <v>527</v>
      </c>
      <c r="E137" s="132" t="s">
        <v>527</v>
      </c>
      <c r="F137" s="132" t="s">
        <v>527</v>
      </c>
      <c r="H137" s="526" t="s">
        <v>867</v>
      </c>
      <c r="I137" s="527"/>
      <c r="J137" s="527"/>
      <c r="K137" s="528" t="s">
        <v>512</v>
      </c>
      <c r="L137" s="533"/>
      <c r="P137" s="208" t="str">
        <f t="shared" si="3"/>
        <v xml:space="preserve"> </v>
      </c>
      <c r="Q137" s="209"/>
      <c r="R137" s="210"/>
      <c r="S137" s="208" t="str">
        <f t="shared" si="4"/>
        <v xml:space="preserve"> </v>
      </c>
      <c r="T137" s="229" t="str">
        <f t="shared" si="5"/>
        <v xml:space="preserve"> </v>
      </c>
      <c r="W137" s="158"/>
    </row>
    <row r="138" spans="2:23" ht="14.4" x14ac:dyDescent="0.3">
      <c r="B138" s="132" t="s">
        <v>527</v>
      </c>
      <c r="E138" s="132" t="s">
        <v>527</v>
      </c>
      <c r="F138" s="132" t="s">
        <v>527</v>
      </c>
      <c r="H138" s="526" t="s">
        <v>260</v>
      </c>
      <c r="I138" s="527"/>
      <c r="J138" s="527"/>
      <c r="K138" s="529" t="s">
        <v>837</v>
      </c>
      <c r="L138" s="533">
        <v>2.8</v>
      </c>
      <c r="P138" s="208" t="str">
        <f t="shared" si="3"/>
        <v xml:space="preserve"> </v>
      </c>
      <c r="Q138" s="209"/>
      <c r="R138" s="210"/>
      <c r="S138" s="208" t="str">
        <f t="shared" si="4"/>
        <v xml:space="preserve"> </v>
      </c>
      <c r="T138" s="229" t="str">
        <f t="shared" si="5"/>
        <v xml:space="preserve"> </v>
      </c>
      <c r="W138" s="158"/>
    </row>
    <row r="139" spans="2:23" ht="14.4" x14ac:dyDescent="0.3">
      <c r="B139" s="132" t="s">
        <v>527</v>
      </c>
      <c r="E139" s="132" t="s">
        <v>527</v>
      </c>
      <c r="F139" s="132" t="s">
        <v>527</v>
      </c>
      <c r="H139" s="526" t="s">
        <v>868</v>
      </c>
      <c r="I139" s="527"/>
      <c r="J139" s="527"/>
      <c r="K139" s="528" t="s">
        <v>272</v>
      </c>
      <c r="L139" s="533">
        <v>2.8</v>
      </c>
      <c r="P139" s="208" t="str">
        <f t="shared" si="3"/>
        <v xml:space="preserve"> </v>
      </c>
      <c r="Q139" s="209"/>
      <c r="R139" s="210"/>
      <c r="S139" s="208" t="str">
        <f t="shared" si="4"/>
        <v xml:space="preserve"> </v>
      </c>
      <c r="T139" s="229" t="str">
        <f t="shared" si="5"/>
        <v xml:space="preserve"> </v>
      </c>
    </row>
    <row r="140" spans="2:23" ht="14.4" x14ac:dyDescent="0.3">
      <c r="B140" s="132" t="s">
        <v>527</v>
      </c>
      <c r="E140" s="132" t="s">
        <v>527</v>
      </c>
      <c r="F140" s="132" t="s">
        <v>527</v>
      </c>
      <c r="H140" s="526" t="s">
        <v>869</v>
      </c>
      <c r="I140" s="527"/>
      <c r="J140" s="527"/>
      <c r="K140" s="528" t="s">
        <v>861</v>
      </c>
      <c r="L140" s="533" t="s">
        <v>870</v>
      </c>
      <c r="P140" s="208" t="str">
        <f t="shared" si="3"/>
        <v xml:space="preserve"> </v>
      </c>
      <c r="Q140" s="209"/>
      <c r="R140" s="210"/>
      <c r="S140" s="208" t="str">
        <f t="shared" si="4"/>
        <v xml:space="preserve"> </v>
      </c>
      <c r="T140" s="229" t="str">
        <f t="shared" si="5"/>
        <v xml:space="preserve"> </v>
      </c>
    </row>
    <row r="141" spans="2:23" ht="14.4" x14ac:dyDescent="0.3">
      <c r="B141" s="132" t="s">
        <v>527</v>
      </c>
      <c r="E141" s="132" t="s">
        <v>527</v>
      </c>
      <c r="F141" s="132" t="s">
        <v>527</v>
      </c>
      <c r="H141" s="526" t="s">
        <v>871</v>
      </c>
      <c r="I141" s="527"/>
      <c r="J141" s="527"/>
      <c r="K141" s="528" t="s">
        <v>276</v>
      </c>
      <c r="L141" s="533">
        <v>5.6</v>
      </c>
      <c r="P141" s="208" t="str">
        <f t="shared" si="3"/>
        <v xml:space="preserve"> </v>
      </c>
      <c r="Q141" s="209"/>
      <c r="R141" s="210"/>
      <c r="S141" s="208" t="str">
        <f t="shared" si="4"/>
        <v xml:space="preserve"> </v>
      </c>
      <c r="T141" s="229" t="str">
        <f t="shared" si="5"/>
        <v xml:space="preserve"> </v>
      </c>
    </row>
    <row r="142" spans="2:23" ht="14.4" x14ac:dyDescent="0.3">
      <c r="B142" s="132" t="s">
        <v>527</v>
      </c>
      <c r="E142" s="132" t="s">
        <v>527</v>
      </c>
      <c r="F142" s="132" t="s">
        <v>527</v>
      </c>
      <c r="H142" s="526" t="s">
        <v>872</v>
      </c>
      <c r="I142" s="527"/>
      <c r="J142" s="527"/>
      <c r="K142" s="528" t="s">
        <v>276</v>
      </c>
      <c r="L142" s="533">
        <v>8.4</v>
      </c>
      <c r="P142" s="208" t="str">
        <f t="shared" si="3"/>
        <v xml:space="preserve"> </v>
      </c>
      <c r="Q142" s="209"/>
      <c r="R142" s="210"/>
      <c r="S142" s="208" t="str">
        <f t="shared" si="4"/>
        <v xml:space="preserve"> </v>
      </c>
      <c r="T142" s="229" t="str">
        <f t="shared" si="5"/>
        <v xml:space="preserve"> </v>
      </c>
    </row>
    <row r="143" spans="2:23" ht="14.4" x14ac:dyDescent="0.3">
      <c r="B143" s="132" t="s">
        <v>527</v>
      </c>
      <c r="E143" s="132" t="s">
        <v>527</v>
      </c>
      <c r="F143" s="132" t="s">
        <v>527</v>
      </c>
      <c r="H143" s="526" t="s">
        <v>873</v>
      </c>
      <c r="I143" s="527"/>
      <c r="J143" s="527"/>
      <c r="K143" s="528" t="s">
        <v>861</v>
      </c>
      <c r="L143" s="533" t="s">
        <v>874</v>
      </c>
      <c r="P143" s="208" t="str">
        <f t="shared" si="3"/>
        <v xml:space="preserve"> </v>
      </c>
      <c r="Q143" s="209"/>
      <c r="R143" s="210"/>
      <c r="S143" s="208" t="str">
        <f t="shared" si="4"/>
        <v xml:space="preserve"> </v>
      </c>
      <c r="T143" s="229" t="str">
        <f t="shared" si="5"/>
        <v xml:space="preserve"> </v>
      </c>
    </row>
    <row r="144" spans="2:23" ht="14.4" x14ac:dyDescent="0.3">
      <c r="B144" s="132" t="s">
        <v>527</v>
      </c>
      <c r="E144" s="132" t="s">
        <v>527</v>
      </c>
      <c r="F144" s="132" t="s">
        <v>527</v>
      </c>
      <c r="H144" s="526" t="s">
        <v>261</v>
      </c>
      <c r="I144" s="527"/>
      <c r="J144" s="527"/>
      <c r="K144" s="528" t="s">
        <v>512</v>
      </c>
      <c r="L144" s="533"/>
      <c r="P144" s="208" t="str">
        <f t="shared" si="3"/>
        <v xml:space="preserve"> </v>
      </c>
      <c r="Q144" s="209"/>
      <c r="R144" s="210"/>
      <c r="S144" s="208" t="str">
        <f t="shared" si="4"/>
        <v xml:space="preserve"> </v>
      </c>
      <c r="T144" s="229" t="str">
        <f t="shared" si="5"/>
        <v xml:space="preserve"> </v>
      </c>
    </row>
    <row r="145" spans="2:20" ht="14.4" x14ac:dyDescent="0.3">
      <c r="B145" s="132" t="s">
        <v>527</v>
      </c>
      <c r="E145" s="132" t="s">
        <v>527</v>
      </c>
      <c r="F145" s="132" t="s">
        <v>527</v>
      </c>
      <c r="H145" s="526" t="s">
        <v>262</v>
      </c>
      <c r="I145" s="527"/>
      <c r="J145" s="527"/>
      <c r="K145" s="528" t="s">
        <v>512</v>
      </c>
      <c r="L145" s="533"/>
      <c r="P145" s="208" t="str">
        <f t="shared" si="3"/>
        <v xml:space="preserve"> </v>
      </c>
      <c r="Q145" s="209"/>
      <c r="R145" s="210"/>
      <c r="S145" s="208" t="str">
        <f t="shared" si="4"/>
        <v xml:space="preserve"> </v>
      </c>
      <c r="T145" s="229" t="str">
        <f t="shared" si="5"/>
        <v xml:space="preserve"> </v>
      </c>
    </row>
    <row r="146" spans="2:20" ht="14.4" x14ac:dyDescent="0.3">
      <c r="B146" s="132" t="s">
        <v>527</v>
      </c>
      <c r="E146" s="132" t="s">
        <v>527</v>
      </c>
      <c r="F146" s="132" t="s">
        <v>527</v>
      </c>
      <c r="H146" s="526" t="s">
        <v>263</v>
      </c>
      <c r="I146" s="527"/>
      <c r="J146" s="527"/>
      <c r="K146" s="528" t="s">
        <v>512</v>
      </c>
      <c r="L146" s="533"/>
      <c r="P146" s="208" t="str">
        <f t="shared" si="3"/>
        <v xml:space="preserve"> </v>
      </c>
      <c r="Q146" s="209"/>
      <c r="R146" s="210"/>
      <c r="S146" s="208" t="str">
        <f t="shared" si="4"/>
        <v xml:space="preserve"> </v>
      </c>
      <c r="T146" s="229" t="str">
        <f t="shared" si="5"/>
        <v xml:space="preserve"> </v>
      </c>
    </row>
    <row r="147" spans="2:20" ht="14.4" x14ac:dyDescent="0.3">
      <c r="B147" s="132" t="s">
        <v>527</v>
      </c>
      <c r="H147" s="526" t="s">
        <v>875</v>
      </c>
      <c r="I147" s="527"/>
      <c r="J147" s="527"/>
      <c r="K147" s="528" t="s">
        <v>876</v>
      </c>
      <c r="L147" s="533">
        <v>0.7</v>
      </c>
      <c r="P147" s="208" t="str">
        <f t="shared" si="3"/>
        <v xml:space="preserve"> </v>
      </c>
      <c r="Q147" s="209"/>
      <c r="R147" s="210"/>
      <c r="S147" s="208" t="str">
        <f t="shared" si="4"/>
        <v xml:space="preserve"> </v>
      </c>
      <c r="T147" s="229" t="str">
        <f t="shared" si="5"/>
        <v xml:space="preserve"> </v>
      </c>
    </row>
    <row r="148" spans="2:20" ht="14.4" x14ac:dyDescent="0.3">
      <c r="B148" s="132" t="s">
        <v>527</v>
      </c>
      <c r="G148" s="132" t="s">
        <v>527</v>
      </c>
      <c r="H148" s="526" t="s">
        <v>264</v>
      </c>
      <c r="I148" s="527"/>
      <c r="J148" s="527"/>
      <c r="K148" s="528" t="s">
        <v>866</v>
      </c>
      <c r="L148" s="533">
        <v>2.8000000000000001E-2</v>
      </c>
      <c r="P148" s="208" t="str">
        <f t="shared" si="3"/>
        <v xml:space="preserve"> </v>
      </c>
      <c r="Q148" s="209"/>
      <c r="R148" s="210"/>
      <c r="S148" s="208" t="str">
        <f t="shared" si="4"/>
        <v xml:space="preserve"> </v>
      </c>
      <c r="T148" s="229" t="str">
        <f t="shared" si="5"/>
        <v xml:space="preserve"> </v>
      </c>
    </row>
    <row r="149" spans="2:20" x14ac:dyDescent="0.25">
      <c r="B149" s="132" t="s">
        <v>527</v>
      </c>
      <c r="H149" s="517" t="s">
        <v>707</v>
      </c>
      <c r="I149" s="518"/>
      <c r="J149" s="518"/>
      <c r="K149" s="522" t="s">
        <v>837</v>
      </c>
      <c r="L149" s="532">
        <v>1.4</v>
      </c>
      <c r="P149" s="208" t="str">
        <f t="shared" si="3"/>
        <v xml:space="preserve"> </v>
      </c>
      <c r="Q149" s="209"/>
      <c r="R149" s="210"/>
      <c r="S149" s="208" t="str">
        <f t="shared" si="4"/>
        <v xml:space="preserve"> </v>
      </c>
      <c r="T149" s="229" t="str">
        <f t="shared" si="5"/>
        <v xml:space="preserve"> </v>
      </c>
    </row>
    <row r="150" spans="2:20" x14ac:dyDescent="0.25">
      <c r="B150" s="132" t="s">
        <v>527</v>
      </c>
      <c r="H150" s="517" t="s">
        <v>708</v>
      </c>
      <c r="I150" s="518"/>
      <c r="J150" s="518"/>
      <c r="K150" s="522" t="s">
        <v>837</v>
      </c>
      <c r="L150" s="532">
        <v>2.8</v>
      </c>
      <c r="P150" s="208" t="str">
        <f>IF($U$3=2,B150,IF($U$3=3,H150," "))</f>
        <v xml:space="preserve"> </v>
      </c>
      <c r="Q150" s="209"/>
      <c r="R150" s="210"/>
      <c r="S150" s="208" t="str">
        <f t="shared" ref="S150:T154" si="6">IF($U$3=2,E150,IF($U$3=3,K150," "))</f>
        <v xml:space="preserve"> </v>
      </c>
      <c r="T150" s="229" t="str">
        <f t="shared" si="6"/>
        <v xml:space="preserve"> </v>
      </c>
    </row>
    <row r="151" spans="2:20" x14ac:dyDescent="0.25">
      <c r="B151" s="132" t="s">
        <v>527</v>
      </c>
      <c r="H151" s="517" t="s">
        <v>709</v>
      </c>
      <c r="I151" s="518"/>
      <c r="J151" s="518"/>
      <c r="K151" s="522" t="s">
        <v>837</v>
      </c>
      <c r="L151" s="532">
        <v>2.8</v>
      </c>
      <c r="P151" s="208" t="str">
        <f>IF($U$3=2,B151,IF($U$3=3,H151," "))</f>
        <v xml:space="preserve"> </v>
      </c>
      <c r="Q151" s="209"/>
      <c r="R151" s="210"/>
      <c r="S151" s="208" t="str">
        <f t="shared" si="6"/>
        <v xml:space="preserve"> </v>
      </c>
      <c r="T151" s="229" t="str">
        <f t="shared" si="6"/>
        <v xml:space="preserve"> </v>
      </c>
    </row>
    <row r="152" spans="2:20" x14ac:dyDescent="0.25">
      <c r="B152" s="132" t="s">
        <v>527</v>
      </c>
      <c r="H152" s="517" t="s">
        <v>710</v>
      </c>
      <c r="I152" s="518"/>
      <c r="J152" s="518"/>
      <c r="K152" s="521" t="s">
        <v>672</v>
      </c>
      <c r="L152" s="532">
        <v>2.8</v>
      </c>
      <c r="P152" s="208" t="str">
        <f>IF($U$3=2,B152,IF($U$3=3,H152," "))</f>
        <v xml:space="preserve"> </v>
      </c>
      <c r="Q152" s="209"/>
      <c r="R152" s="210"/>
      <c r="S152" s="208" t="str">
        <f t="shared" si="6"/>
        <v xml:space="preserve"> </v>
      </c>
      <c r="T152" s="229" t="str">
        <f t="shared" si="6"/>
        <v xml:space="preserve"> </v>
      </c>
    </row>
    <row r="153" spans="2:20" x14ac:dyDescent="0.25">
      <c r="B153" s="132" t="s">
        <v>527</v>
      </c>
      <c r="H153" s="517" t="s">
        <v>711</v>
      </c>
      <c r="I153" s="518"/>
      <c r="J153" s="518"/>
      <c r="K153" s="521" t="s">
        <v>672</v>
      </c>
      <c r="L153" s="532">
        <v>4.2</v>
      </c>
      <c r="P153" s="517" t="str">
        <f>IF($U$3=2,B153,IF($U$3=3,H153," "))</f>
        <v xml:space="preserve"> </v>
      </c>
      <c r="Q153" s="518"/>
      <c r="R153" s="518"/>
      <c r="S153" s="521" t="str">
        <f t="shared" si="6"/>
        <v xml:space="preserve"> </v>
      </c>
      <c r="T153" s="532" t="str">
        <f t="shared" si="6"/>
        <v xml:space="preserve"> </v>
      </c>
    </row>
    <row r="154" spans="2:20" x14ac:dyDescent="0.25">
      <c r="B154" s="132" t="s">
        <v>527</v>
      </c>
      <c r="H154" s="516" t="s">
        <v>712</v>
      </c>
      <c r="I154" s="519"/>
      <c r="J154" s="519"/>
      <c r="K154" s="525" t="s">
        <v>841</v>
      </c>
      <c r="L154" s="534" t="s">
        <v>842</v>
      </c>
      <c r="P154" s="516" t="str">
        <f>IF($U$3=2,B154,IF($U$3=3,H154," "))</f>
        <v xml:space="preserve"> </v>
      </c>
      <c r="Q154" s="519"/>
      <c r="R154" s="519"/>
      <c r="S154" s="525" t="str">
        <f t="shared" si="6"/>
        <v xml:space="preserve"> </v>
      </c>
      <c r="T154" s="534" t="str">
        <f t="shared" si="6"/>
        <v xml:space="preserve"> </v>
      </c>
    </row>
    <row r="155" spans="2:20" x14ac:dyDescent="0.25">
      <c r="B155" s="132" t="s">
        <v>527</v>
      </c>
    </row>
    <row r="156" spans="2:20" x14ac:dyDescent="0.25">
      <c r="B156" s="132" t="s">
        <v>527</v>
      </c>
    </row>
    <row r="157" spans="2:20" x14ac:dyDescent="0.25">
      <c r="B157" s="132" t="s">
        <v>527</v>
      </c>
    </row>
    <row r="158" spans="2:20" x14ac:dyDescent="0.25">
      <c r="B158" s="132" t="s">
        <v>527</v>
      </c>
    </row>
    <row r="159" spans="2:20" x14ac:dyDescent="0.25">
      <c r="B159" s="132" t="s">
        <v>527</v>
      </c>
    </row>
    <row r="160" spans="2:20" x14ac:dyDescent="0.25">
      <c r="B160" s="132" t="s">
        <v>527</v>
      </c>
    </row>
    <row r="161" spans="2:2" x14ac:dyDescent="0.25">
      <c r="B161" s="132" t="s">
        <v>527</v>
      </c>
    </row>
    <row r="162" spans="2:2" x14ac:dyDescent="0.25">
      <c r="B162" s="132" t="s">
        <v>527</v>
      </c>
    </row>
    <row r="163" spans="2:2" x14ac:dyDescent="0.25">
      <c r="B163" s="132" t="s">
        <v>527</v>
      </c>
    </row>
    <row r="164" spans="2:2" x14ac:dyDescent="0.25">
      <c r="B164" s="132" t="s">
        <v>527</v>
      </c>
    </row>
    <row r="165" spans="2:2" x14ac:dyDescent="0.25">
      <c r="B165" s="132" t="s">
        <v>527</v>
      </c>
    </row>
  </sheetData>
  <sheetProtection password="CDF4" sheet="1" objects="1" scenarios="1"/>
  <mergeCells count="45">
    <mergeCell ref="H88:J88"/>
    <mergeCell ref="I41:I42"/>
    <mergeCell ref="B49:F50"/>
    <mergeCell ref="B41:E41"/>
    <mergeCell ref="H87:L87"/>
    <mergeCell ref="J41:J42"/>
    <mergeCell ref="P88:R88"/>
    <mergeCell ref="B87:F87"/>
    <mergeCell ref="P87:T87"/>
    <mergeCell ref="J33:J34"/>
    <mergeCell ref="K33:K34"/>
    <mergeCell ref="I33:I34"/>
    <mergeCell ref="G34:H34"/>
    <mergeCell ref="D34:E34"/>
    <mergeCell ref="B88:D88"/>
    <mergeCell ref="D42:E42"/>
    <mergeCell ref="G42:H42"/>
    <mergeCell ref="K41:K42"/>
    <mergeCell ref="H54:K54"/>
    <mergeCell ref="H53:K53"/>
    <mergeCell ref="H52:K52"/>
    <mergeCell ref="F41:H41"/>
    <mergeCell ref="D26:E26"/>
    <mergeCell ref="B25:E25"/>
    <mergeCell ref="G26:H26"/>
    <mergeCell ref="F18:G18"/>
    <mergeCell ref="F33:H33"/>
    <mergeCell ref="F20:G20"/>
    <mergeCell ref="B33:E33"/>
    <mergeCell ref="M6:N6"/>
    <mergeCell ref="F21:G21"/>
    <mergeCell ref="B81:E81"/>
    <mergeCell ref="B6:C7"/>
    <mergeCell ref="D6:G7"/>
    <mergeCell ref="L6:L7"/>
    <mergeCell ref="B8:C11"/>
    <mergeCell ref="F16:G16"/>
    <mergeCell ref="F19:G19"/>
    <mergeCell ref="H6:K6"/>
    <mergeCell ref="K25:K26"/>
    <mergeCell ref="F17:G17"/>
    <mergeCell ref="F25:H25"/>
    <mergeCell ref="J7:K7"/>
    <mergeCell ref="J25:J26"/>
    <mergeCell ref="I25:I26"/>
  </mergeCells>
  <phoneticPr fontId="4" type="noConversion"/>
  <dataValidations disablePrompts="1" count="1">
    <dataValidation type="list" allowBlank="1" showInputMessage="1" showErrorMessage="1" sqref="L5 L31:L47 L24" xr:uid="{00000000-0002-0000-0400-000000000000}">
      <formula1>#REF!</formula1>
    </dataValidation>
  </dataValidations>
  <pageMargins left="0.69" right="0.28999999999999998" top="1" bottom="1" header="0.5" footer="0.5"/>
  <pageSetup paperSize="9" scale="64" orientation="portrait"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98" r:id="rId4" name="Drop Down 30">
              <controlPr defaultSize="0" autoLine="0" autoPict="0">
                <anchor moveWithCells="1">
                  <from>
                    <xdr:col>1</xdr:col>
                    <xdr:colOff>7620</xdr:colOff>
                    <xdr:row>15</xdr:row>
                    <xdr:rowOff>0</xdr:rowOff>
                  </from>
                  <to>
                    <xdr:col>5</xdr:col>
                    <xdr:colOff>7620</xdr:colOff>
                    <xdr:row>16</xdr:row>
                    <xdr:rowOff>7620</xdr:rowOff>
                  </to>
                </anchor>
              </controlPr>
            </control>
          </mc:Choice>
        </mc:AlternateContent>
        <mc:AlternateContent xmlns:mc="http://schemas.openxmlformats.org/markup-compatibility/2006">
          <mc:Choice Requires="x14">
            <control shapeId="7199" r:id="rId5" name="Drop Down 31">
              <controlPr defaultSize="0" autoLine="0" autoPict="0">
                <anchor moveWithCells="1">
                  <from>
                    <xdr:col>1</xdr:col>
                    <xdr:colOff>7620</xdr:colOff>
                    <xdr:row>18</xdr:row>
                    <xdr:rowOff>7620</xdr:rowOff>
                  </from>
                  <to>
                    <xdr:col>5</xdr:col>
                    <xdr:colOff>7620</xdr:colOff>
                    <xdr:row>19</xdr:row>
                    <xdr:rowOff>7620</xdr:rowOff>
                  </to>
                </anchor>
              </controlPr>
            </control>
          </mc:Choice>
        </mc:AlternateContent>
        <mc:AlternateContent xmlns:mc="http://schemas.openxmlformats.org/markup-compatibility/2006">
          <mc:Choice Requires="x14">
            <control shapeId="7200" r:id="rId6" name="Drop Down 32">
              <controlPr defaultSize="0" autoLine="0" autoPict="0">
                <anchor moveWithCells="1">
                  <from>
                    <xdr:col>1</xdr:col>
                    <xdr:colOff>7620</xdr:colOff>
                    <xdr:row>19</xdr:row>
                    <xdr:rowOff>0</xdr:rowOff>
                  </from>
                  <to>
                    <xdr:col>5</xdr:col>
                    <xdr:colOff>7620</xdr:colOff>
                    <xdr:row>20</xdr:row>
                    <xdr:rowOff>0</xdr:rowOff>
                  </to>
                </anchor>
              </controlPr>
            </control>
          </mc:Choice>
        </mc:AlternateContent>
        <mc:AlternateContent xmlns:mc="http://schemas.openxmlformats.org/markup-compatibility/2006">
          <mc:Choice Requires="x14">
            <control shapeId="7201" r:id="rId7" name="Drop Down 33">
              <controlPr defaultSize="0" autoLine="0" autoPict="0">
                <anchor moveWithCells="1">
                  <from>
                    <xdr:col>2</xdr:col>
                    <xdr:colOff>800100</xdr:colOff>
                    <xdr:row>2</xdr:row>
                    <xdr:rowOff>7620</xdr:rowOff>
                  </from>
                  <to>
                    <xdr:col>7</xdr:col>
                    <xdr:colOff>373380</xdr:colOff>
                    <xdr:row>3</xdr:row>
                    <xdr:rowOff>60960</xdr:rowOff>
                  </to>
                </anchor>
              </controlPr>
            </control>
          </mc:Choice>
        </mc:AlternateContent>
        <mc:AlternateContent xmlns:mc="http://schemas.openxmlformats.org/markup-compatibility/2006">
          <mc:Choice Requires="x14">
            <control shapeId="7221" r:id="rId8" name="Drop Down 53">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7222" r:id="rId9" name="Drop Down 54">
              <controlPr defaultSize="0" autoLine="0" autoPict="0">
                <anchor moveWithCells="1">
                  <from>
                    <xdr:col>1</xdr:col>
                    <xdr:colOff>7620</xdr:colOff>
                    <xdr:row>17</xdr:row>
                    <xdr:rowOff>0</xdr:rowOff>
                  </from>
                  <to>
                    <xdr:col>5</xdr:col>
                    <xdr:colOff>7620</xdr:colOff>
                    <xdr:row>18</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Z64"/>
  <sheetViews>
    <sheetView showGridLines="0" zoomScale="75" workbookViewId="0">
      <selection activeCell="D3" sqref="D3:E3"/>
    </sheetView>
  </sheetViews>
  <sheetFormatPr defaultColWidth="9.109375" defaultRowHeight="13.2" x14ac:dyDescent="0.25"/>
  <cols>
    <col min="1" max="1" width="4.88671875" style="132" customWidth="1"/>
    <col min="2" max="11" width="11.6640625" style="132" customWidth="1"/>
    <col min="12" max="25" width="9.109375" style="132"/>
    <col min="26" max="26" width="9.109375" style="132" hidden="1" customWidth="1"/>
    <col min="27" max="16384" width="9.109375" style="132"/>
  </cols>
  <sheetData>
    <row r="1" spans="1:26" ht="21" customHeight="1" x14ac:dyDescent="0.3">
      <c r="A1" s="233" t="s">
        <v>765</v>
      </c>
      <c r="L1" s="234" t="s">
        <v>80</v>
      </c>
    </row>
    <row r="2" spans="1:26" ht="62.25" customHeight="1" x14ac:dyDescent="0.3">
      <c r="A2" s="233"/>
      <c r="L2" s="235"/>
    </row>
    <row r="3" spans="1:26" ht="15.75" customHeight="1" x14ac:dyDescent="0.25">
      <c r="A3" s="535" t="s">
        <v>536</v>
      </c>
      <c r="B3" s="536" t="s">
        <v>522</v>
      </c>
      <c r="C3" s="536"/>
      <c r="D3" s="703"/>
      <c r="E3" s="704"/>
    </row>
    <row r="4" spans="1:26" ht="21.75" customHeight="1" x14ac:dyDescent="0.25">
      <c r="A4" s="157"/>
      <c r="B4" s="159"/>
    </row>
    <row r="5" spans="1:26" ht="15.75" customHeight="1" x14ac:dyDescent="0.25">
      <c r="A5" s="512" t="s">
        <v>529</v>
      </c>
      <c r="B5" s="159" t="s">
        <v>594</v>
      </c>
      <c r="E5" s="182"/>
      <c r="F5" s="132" t="s">
        <v>585</v>
      </c>
    </row>
    <row r="6" spans="1:26" ht="13.5" customHeight="1" x14ac:dyDescent="0.25"/>
    <row r="7" spans="1:26" ht="12.75" customHeight="1" x14ac:dyDescent="0.25">
      <c r="A7" s="512" t="s">
        <v>530</v>
      </c>
      <c r="B7" s="159" t="s">
        <v>582</v>
      </c>
      <c r="Z7" s="160" t="b">
        <v>1</v>
      </c>
    </row>
    <row r="8" spans="1:26" x14ac:dyDescent="0.25">
      <c r="A8" s="157"/>
      <c r="B8" s="159"/>
    </row>
    <row r="11" spans="1:26" x14ac:dyDescent="0.25">
      <c r="A11" s="157"/>
      <c r="B11" s="584" t="s">
        <v>520</v>
      </c>
      <c r="C11" s="676"/>
      <c r="D11" s="676"/>
      <c r="E11" s="585"/>
      <c r="F11" s="607" t="s">
        <v>533</v>
      </c>
      <c r="G11" s="608"/>
      <c r="H11" s="609"/>
      <c r="I11" s="648" t="s">
        <v>592</v>
      </c>
      <c r="J11" s="607" t="s">
        <v>593</v>
      </c>
      <c r="K11" s="609"/>
    </row>
    <row r="12" spans="1:26" x14ac:dyDescent="0.25">
      <c r="B12" s="641"/>
      <c r="C12" s="677"/>
      <c r="D12" s="677"/>
      <c r="E12" s="642"/>
      <c r="F12" s="65" t="s">
        <v>586</v>
      </c>
      <c r="G12" s="65" t="s">
        <v>521</v>
      </c>
      <c r="H12" s="65" t="str">
        <f>IF($Z$7=TRUE,"RBCI","No Index")</f>
        <v>RBCI</v>
      </c>
      <c r="I12" s="649"/>
      <c r="J12" s="7" t="s">
        <v>538</v>
      </c>
      <c r="K12" s="7" t="s">
        <v>521</v>
      </c>
    </row>
    <row r="13" spans="1:26" ht="21" customHeight="1" x14ac:dyDescent="0.25">
      <c r="B13" s="12" t="s">
        <v>766</v>
      </c>
      <c r="C13" s="13"/>
      <c r="D13" s="13"/>
      <c r="E13" s="14"/>
      <c r="F13" s="9">
        <v>2200</v>
      </c>
      <c r="G13" s="64" t="s">
        <v>808</v>
      </c>
      <c r="H13" s="2">
        <f>IF($Z$7=TRUE,97.2,"")</f>
        <v>97.2</v>
      </c>
      <c r="I13" s="11">
        <f>IF($Z$7=TRUE,'June 2009 Summary'!$D$16/'Open Space'!H13,1)</f>
        <v>0.97942386831275718</v>
      </c>
      <c r="J13" s="9">
        <f>+F13*I13</f>
        <v>2154.7325102880659</v>
      </c>
      <c r="K13" s="62" t="str">
        <f>+'June 2009 Summary'!D14</f>
        <v>Jun '09</v>
      </c>
    </row>
    <row r="14" spans="1:26" x14ac:dyDescent="0.25">
      <c r="F14" s="237" t="str">
        <f>IF($Z$7=TRUE,"Note - Conditions of approval require contributions at rates applicable at the time of payment","Note - Base Rate set per policy, as yet no indexation applies automatically")</f>
        <v>Note - Conditions of approval require contributions at rates applicable at the time of payment</v>
      </c>
      <c r="G14" s="162"/>
      <c r="H14" s="162"/>
    </row>
    <row r="16" spans="1:26" x14ac:dyDescent="0.25">
      <c r="A16" s="512" t="s">
        <v>531</v>
      </c>
      <c r="B16" s="159" t="s">
        <v>783</v>
      </c>
    </row>
    <row r="17" spans="1:7" x14ac:dyDescent="0.25">
      <c r="B17" s="584" t="s">
        <v>772</v>
      </c>
      <c r="C17" s="676"/>
      <c r="D17" s="585"/>
      <c r="E17" s="26" t="s">
        <v>778</v>
      </c>
    </row>
    <row r="18" spans="1:7" x14ac:dyDescent="0.25">
      <c r="B18" s="641"/>
      <c r="C18" s="677"/>
      <c r="D18" s="642"/>
      <c r="E18" s="27" t="str">
        <f>+K13</f>
        <v>Jun '09</v>
      </c>
    </row>
    <row r="19" spans="1:7" ht="19.5" customHeight="1" x14ac:dyDescent="0.25">
      <c r="A19" s="157"/>
      <c r="B19" s="12" t="s">
        <v>765</v>
      </c>
      <c r="C19" s="13"/>
      <c r="D19" s="13"/>
      <c r="E19" s="28">
        <f>+IF(D3="Reconfiguration of Lot",E5*J13,0)</f>
        <v>0</v>
      </c>
      <c r="G19" s="159" t="str">
        <f>IF($D$3="Material Change of Use","Park contribution applies only to subdivision","")</f>
        <v/>
      </c>
    </row>
    <row r="20" spans="1:7" x14ac:dyDescent="0.25">
      <c r="E20" s="170"/>
    </row>
    <row r="60" spans="2:6" x14ac:dyDescent="0.25">
      <c r="B60" s="546" t="s">
        <v>534</v>
      </c>
      <c r="C60" s="546"/>
      <c r="D60" s="546"/>
      <c r="E60" s="546"/>
      <c r="F60" s="546"/>
    </row>
    <row r="61" spans="2:6" x14ac:dyDescent="0.25">
      <c r="B61" s="705" t="s">
        <v>522</v>
      </c>
      <c r="C61" s="706"/>
      <c r="D61" s="706"/>
      <c r="E61" s="706"/>
      <c r="F61" s="707"/>
    </row>
    <row r="62" spans="2:6" x14ac:dyDescent="0.25">
      <c r="B62" s="539"/>
      <c r="C62" s="537"/>
      <c r="D62" s="537"/>
      <c r="E62" s="537"/>
      <c r="F62" s="538"/>
    </row>
    <row r="63" spans="2:6" x14ac:dyDescent="0.25">
      <c r="B63" s="541" t="s">
        <v>45</v>
      </c>
      <c r="C63" s="542"/>
      <c r="D63" s="542"/>
      <c r="E63" s="542"/>
      <c r="F63" s="543"/>
    </row>
    <row r="64" spans="2:6" x14ac:dyDescent="0.25">
      <c r="B64" s="540" t="s">
        <v>769</v>
      </c>
      <c r="C64" s="544"/>
      <c r="D64" s="544"/>
      <c r="E64" s="544"/>
      <c r="F64" s="545"/>
    </row>
  </sheetData>
  <sheetProtection password="CDF4" sheet="1"/>
  <mergeCells count="7">
    <mergeCell ref="D3:E3"/>
    <mergeCell ref="B61:F61"/>
    <mergeCell ref="J11:K11"/>
    <mergeCell ref="B17:D18"/>
    <mergeCell ref="B11:E12"/>
    <mergeCell ref="I11:I12"/>
    <mergeCell ref="F11:H11"/>
  </mergeCells>
  <phoneticPr fontId="4" type="noConversion"/>
  <dataValidations count="1">
    <dataValidation type="list" allowBlank="1" showInputMessage="1" showErrorMessage="1" sqref="D3:E3" xr:uid="{00000000-0002-0000-0500-000000000000}">
      <formula1>$B$62:$B$64</formula1>
    </dataValidation>
  </dataValidations>
  <pageMargins left="0.74803149606299213" right="0.74803149606299213" top="0.98425196850393704" bottom="0.98425196850393704"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sizeWithCells="1">
                  <from>
                    <xdr:col>0</xdr:col>
                    <xdr:colOff>274320</xdr:colOff>
                    <xdr:row>7</xdr:row>
                    <xdr:rowOff>83820</xdr:rowOff>
                  </from>
                  <to>
                    <xdr:col>6</xdr:col>
                    <xdr:colOff>304800</xdr:colOff>
                    <xdr:row>8</xdr:row>
                    <xdr:rowOff>144780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Z19"/>
  <sheetViews>
    <sheetView showGridLines="0" zoomScale="75" workbookViewId="0">
      <selection activeCell="F3" sqref="F3"/>
    </sheetView>
  </sheetViews>
  <sheetFormatPr defaultColWidth="9.109375" defaultRowHeight="13.2" x14ac:dyDescent="0.25"/>
  <cols>
    <col min="1" max="1" width="4.6640625" style="132" customWidth="1"/>
    <col min="2" max="3" width="9.109375" style="132"/>
    <col min="4" max="4" width="12.6640625" style="132" customWidth="1"/>
    <col min="5" max="5" width="10.33203125" style="132" bestFit="1" customWidth="1"/>
    <col min="6" max="25" width="9.109375" style="132"/>
    <col min="26" max="26" width="0" style="132" hidden="1" customWidth="1"/>
    <col min="27" max="16384" width="9.109375" style="132"/>
  </cols>
  <sheetData>
    <row r="1" spans="1:26" ht="15.6" x14ac:dyDescent="0.3">
      <c r="A1" s="233" t="s">
        <v>721</v>
      </c>
      <c r="O1" s="234" t="s">
        <v>805</v>
      </c>
    </row>
    <row r="2" spans="1:26" ht="63.75" customHeight="1" x14ac:dyDescent="0.25"/>
    <row r="3" spans="1:26" x14ac:dyDescent="0.25">
      <c r="A3" s="157" t="s">
        <v>536</v>
      </c>
      <c r="B3" s="159" t="s">
        <v>581</v>
      </c>
      <c r="F3" s="182"/>
      <c r="G3" s="132" t="s">
        <v>583</v>
      </c>
    </row>
    <row r="4" spans="1:26" x14ac:dyDescent="0.25">
      <c r="A4" s="157"/>
      <c r="B4" s="159"/>
    </row>
    <row r="5" spans="1:26" ht="22.5" customHeight="1" x14ac:dyDescent="0.25">
      <c r="A5" s="157" t="s">
        <v>529</v>
      </c>
      <c r="B5" s="159" t="s">
        <v>722</v>
      </c>
      <c r="Z5" s="160" t="b">
        <v>1</v>
      </c>
    </row>
    <row r="6" spans="1:26" ht="14.25" customHeight="1" x14ac:dyDescent="0.25"/>
    <row r="7" spans="1:26" ht="27" customHeight="1" x14ac:dyDescent="0.25"/>
    <row r="8" spans="1:26" x14ac:dyDescent="0.25">
      <c r="B8" s="584" t="s">
        <v>520</v>
      </c>
      <c r="C8" s="676"/>
      <c r="D8" s="676"/>
      <c r="E8" s="585"/>
      <c r="F8" s="607" t="s">
        <v>533</v>
      </c>
      <c r="G8" s="608"/>
      <c r="H8" s="708"/>
      <c r="I8" s="648" t="s">
        <v>592</v>
      </c>
      <c r="J8" s="607" t="s">
        <v>593</v>
      </c>
      <c r="K8" s="609"/>
    </row>
    <row r="9" spans="1:26" x14ac:dyDescent="0.25">
      <c r="B9" s="641"/>
      <c r="C9" s="677"/>
      <c r="D9" s="677"/>
      <c r="E9" s="642"/>
      <c r="F9" s="65" t="s">
        <v>584</v>
      </c>
      <c r="G9" s="65" t="s">
        <v>521</v>
      </c>
      <c r="H9" s="65" t="str">
        <f>IF($Z$5=TRUE,"RBCI","No Index")</f>
        <v>RBCI</v>
      </c>
      <c r="I9" s="649"/>
      <c r="J9" s="7" t="s">
        <v>584</v>
      </c>
      <c r="K9" s="7" t="s">
        <v>521</v>
      </c>
    </row>
    <row r="10" spans="1:26" ht="15" customHeight="1" x14ac:dyDescent="0.25">
      <c r="B10" s="12" t="s">
        <v>723</v>
      </c>
      <c r="C10" s="13"/>
      <c r="D10" s="13"/>
      <c r="E10" s="14"/>
      <c r="F10" s="9">
        <v>7929</v>
      </c>
      <c r="G10" s="64" t="s">
        <v>804</v>
      </c>
      <c r="H10" s="2">
        <f>IF($Z$5=TRUE,91.8,"")</f>
        <v>91.8</v>
      </c>
      <c r="I10" s="11">
        <f>IF($Z$5=TRUE,'June 2009 Summary'!$D$16/'Car Parking'!$H$10,1)</f>
        <v>1.0370370370370372</v>
      </c>
      <c r="J10" s="9">
        <f>+F10*I10</f>
        <v>8222.6666666666679</v>
      </c>
      <c r="K10" s="62" t="str">
        <f>+'June 2009 Summary'!D14</f>
        <v>Jun '09</v>
      </c>
    </row>
    <row r="11" spans="1:26" x14ac:dyDescent="0.25">
      <c r="F11" s="237" t="str">
        <f>IF($Z$5=TRUE,"Note - Conditions of approval require contributions at rates applicable at the time of payment","Note - Base Rate set per policy, as yet no indexation applies automatically")</f>
        <v>Note - Conditions of approval require contributions at rates applicable at the time of payment</v>
      </c>
      <c r="G11" s="162"/>
      <c r="H11" s="162"/>
      <c r="S11" s="160"/>
    </row>
    <row r="13" spans="1:26" x14ac:dyDescent="0.25">
      <c r="A13" s="157" t="s">
        <v>530</v>
      </c>
      <c r="B13" s="159" t="s">
        <v>783</v>
      </c>
    </row>
    <row r="14" spans="1:26" x14ac:dyDescent="0.25">
      <c r="B14" s="584" t="s">
        <v>772</v>
      </c>
      <c r="C14" s="676"/>
      <c r="D14" s="585"/>
      <c r="E14" s="26" t="s">
        <v>778</v>
      </c>
      <c r="J14" s="238"/>
    </row>
    <row r="15" spans="1:26" x14ac:dyDescent="0.25">
      <c r="B15" s="641"/>
      <c r="C15" s="677"/>
      <c r="D15" s="642"/>
      <c r="E15" s="27" t="str">
        <f>+K10</f>
        <v>Jun '09</v>
      </c>
    </row>
    <row r="16" spans="1:26" ht="16.5" customHeight="1" x14ac:dyDescent="0.25">
      <c r="B16" s="12" t="s">
        <v>784</v>
      </c>
      <c r="C16" s="13"/>
      <c r="D16" s="13"/>
      <c r="E16" s="28">
        <f>+F3*J10</f>
        <v>0</v>
      </c>
    </row>
    <row r="17" spans="1:5" x14ac:dyDescent="0.25">
      <c r="A17" s="157"/>
    </row>
    <row r="18" spans="1:5" x14ac:dyDescent="0.25">
      <c r="E18" s="239"/>
    </row>
    <row r="19" spans="1:5" x14ac:dyDescent="0.25">
      <c r="B19" s="157"/>
    </row>
  </sheetData>
  <sheetProtection password="CDF4" sheet="1"/>
  <mergeCells count="5">
    <mergeCell ref="B14:D15"/>
    <mergeCell ref="J8:K8"/>
    <mergeCell ref="B8:E9"/>
    <mergeCell ref="I8:I9"/>
    <mergeCell ref="F8:H8"/>
  </mergeCells>
  <phoneticPr fontId="4"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sizeWithCells="1">
                  <from>
                    <xdr:col>0</xdr:col>
                    <xdr:colOff>297180</xdr:colOff>
                    <xdr:row>5</xdr:row>
                    <xdr:rowOff>144780</xdr:rowOff>
                  </from>
                  <to>
                    <xdr:col>7</xdr:col>
                    <xdr:colOff>266700</xdr:colOff>
                    <xdr:row>6</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S187"/>
  <sheetViews>
    <sheetView zoomScale="75" workbookViewId="0">
      <selection activeCell="H14" sqref="H14"/>
    </sheetView>
  </sheetViews>
  <sheetFormatPr defaultColWidth="9.109375" defaultRowHeight="13.2" x14ac:dyDescent="0.25"/>
  <cols>
    <col min="1" max="1" width="5.109375" style="132" customWidth="1"/>
    <col min="2" max="2" width="11.44140625" style="132" customWidth="1"/>
    <col min="3" max="3" width="11.33203125" style="132" bestFit="1" customWidth="1"/>
    <col min="4" max="4" width="9" style="132" customWidth="1"/>
    <col min="5" max="7" width="9.109375" style="132"/>
    <col min="8" max="8" width="11.5546875" style="132" customWidth="1"/>
    <col min="9" max="9" width="11.88671875" style="132" customWidth="1"/>
    <col min="10" max="13" width="9.109375" style="132"/>
    <col min="14" max="14" width="12.109375" style="132" customWidth="1"/>
    <col min="15" max="15" width="12" style="132" customWidth="1"/>
    <col min="16" max="16" width="11.88671875" style="132" customWidth="1"/>
    <col min="17" max="18" width="9.109375" style="132"/>
    <col min="19" max="19" width="0" style="132" hidden="1" customWidth="1"/>
    <col min="20" max="21" width="9.109375" style="132"/>
    <col min="22" max="22" width="12.109375" style="132" customWidth="1"/>
    <col min="23" max="23" width="16.44140625" style="132" customWidth="1"/>
    <col min="24" max="16384" width="9.109375" style="132"/>
  </cols>
  <sheetData>
    <row r="1" spans="1:19" ht="33.75" customHeight="1" x14ac:dyDescent="0.25">
      <c r="A1" s="709" t="s">
        <v>773</v>
      </c>
      <c r="B1" s="709"/>
      <c r="C1" s="709"/>
      <c r="D1" s="709"/>
      <c r="E1" s="709"/>
      <c r="F1" s="709"/>
      <c r="G1" s="709"/>
      <c r="H1" s="709"/>
      <c r="I1" s="709"/>
      <c r="J1" s="241"/>
      <c r="N1" s="157" t="s">
        <v>809</v>
      </c>
    </row>
    <row r="2" spans="1:19" ht="84.75" customHeight="1" x14ac:dyDescent="0.25">
      <c r="A2" s="240"/>
      <c r="B2" s="240"/>
      <c r="C2" s="240"/>
      <c r="D2" s="240"/>
      <c r="E2" s="240"/>
      <c r="F2" s="240"/>
      <c r="G2" s="240"/>
      <c r="H2" s="240"/>
      <c r="I2" s="240"/>
      <c r="J2" s="241"/>
    </row>
    <row r="3" spans="1:19" ht="15" customHeight="1" x14ac:dyDescent="0.25">
      <c r="A3" s="157" t="s">
        <v>536</v>
      </c>
      <c r="B3" s="159" t="s">
        <v>522</v>
      </c>
      <c r="C3" s="240"/>
      <c r="D3" s="240"/>
      <c r="E3" s="240"/>
      <c r="F3" s="240"/>
      <c r="G3" s="240"/>
      <c r="H3" s="240"/>
      <c r="S3" s="160">
        <v>1</v>
      </c>
    </row>
    <row r="4" spans="1:19" ht="15" customHeight="1" x14ac:dyDescent="0.25">
      <c r="A4" s="240"/>
      <c r="B4" s="159"/>
      <c r="C4" s="240"/>
      <c r="D4" s="240"/>
      <c r="E4" s="240"/>
      <c r="F4" s="240"/>
      <c r="G4" s="240"/>
      <c r="H4" s="240"/>
    </row>
    <row r="5" spans="1:19" ht="15" customHeight="1" x14ac:dyDescent="0.25">
      <c r="A5" s="240"/>
      <c r="B5" s="159"/>
      <c r="C5" s="240"/>
      <c r="D5" s="240"/>
      <c r="E5" s="240"/>
      <c r="F5" s="240"/>
      <c r="G5" s="240"/>
      <c r="H5" s="240"/>
    </row>
    <row r="6" spans="1:19" ht="15" customHeight="1" x14ac:dyDescent="0.25">
      <c r="A6" s="157" t="s">
        <v>529</v>
      </c>
      <c r="B6" s="159" t="s">
        <v>770</v>
      </c>
    </row>
    <row r="7" spans="1:19" ht="15" customHeight="1" x14ac:dyDescent="0.25">
      <c r="B7" s="584" t="s">
        <v>520</v>
      </c>
      <c r="C7" s="676"/>
      <c r="D7" s="676"/>
      <c r="E7" s="585"/>
      <c r="F7" s="607" t="s">
        <v>533</v>
      </c>
      <c r="G7" s="608"/>
      <c r="H7" s="710"/>
      <c r="I7" s="648" t="s">
        <v>592</v>
      </c>
      <c r="J7" s="607" t="s">
        <v>593</v>
      </c>
      <c r="K7" s="609"/>
    </row>
    <row r="8" spans="1:19" ht="15" customHeight="1" x14ac:dyDescent="0.25">
      <c r="B8" s="641"/>
      <c r="C8" s="677"/>
      <c r="D8" s="677"/>
      <c r="E8" s="642"/>
      <c r="F8" s="7" t="s">
        <v>777</v>
      </c>
      <c r="G8" s="7" t="s">
        <v>521</v>
      </c>
      <c r="H8" s="7" t="s">
        <v>797</v>
      </c>
      <c r="I8" s="649"/>
      <c r="J8" s="7" t="str">
        <f>+F8</f>
        <v>$/DU</v>
      </c>
      <c r="K8" s="7" t="s">
        <v>521</v>
      </c>
    </row>
    <row r="9" spans="1:19" ht="15" customHeight="1" x14ac:dyDescent="0.25">
      <c r="B9" s="12" t="s">
        <v>776</v>
      </c>
      <c r="C9" s="13"/>
      <c r="D9" s="13"/>
      <c r="E9" s="14"/>
      <c r="F9" s="9">
        <v>359</v>
      </c>
      <c r="G9" s="64" t="s">
        <v>804</v>
      </c>
      <c r="H9" s="58">
        <v>91.8</v>
      </c>
      <c r="I9" s="11">
        <f>+'June 2009 Summary'!$D$16/'Peds &amp; Bikes'!H9</f>
        <v>1.0370370370370372</v>
      </c>
      <c r="J9" s="9">
        <f>+F9*I9</f>
        <v>372.29629629629636</v>
      </c>
      <c r="K9" s="62" t="str">
        <f>+'June 2009 Summary'!D14</f>
        <v>Jun '09</v>
      </c>
      <c r="S9" s="160"/>
    </row>
    <row r="10" spans="1:19" ht="15" customHeight="1" x14ac:dyDescent="0.25">
      <c r="G10" s="162" t="s">
        <v>807</v>
      </c>
    </row>
    <row r="11" spans="1:19" ht="15" customHeight="1" x14ac:dyDescent="0.25">
      <c r="A11" s="240"/>
      <c r="B11" s="159"/>
      <c r="C11" s="240"/>
      <c r="D11" s="240"/>
      <c r="E11" s="240"/>
      <c r="F11" s="240"/>
      <c r="G11" s="240"/>
      <c r="H11" s="240"/>
      <c r="I11" s="240"/>
      <c r="J11" s="241"/>
    </row>
    <row r="12" spans="1:19" x14ac:dyDescent="0.25">
      <c r="A12" s="157" t="s">
        <v>530</v>
      </c>
      <c r="B12" s="159" t="s">
        <v>724</v>
      </c>
    </row>
    <row r="13" spans="1:19" x14ac:dyDescent="0.25">
      <c r="B13" s="3" t="s">
        <v>524</v>
      </c>
      <c r="C13" s="4"/>
      <c r="D13" s="4"/>
      <c r="E13" s="5"/>
      <c r="F13" s="3" t="s">
        <v>526</v>
      </c>
      <c r="G13" s="6"/>
      <c r="H13" s="7" t="s">
        <v>525</v>
      </c>
      <c r="I13" s="8" t="s">
        <v>775</v>
      </c>
      <c r="J13" s="7" t="s">
        <v>774</v>
      </c>
    </row>
    <row r="14" spans="1:19" ht="15" customHeight="1" x14ac:dyDescent="0.25">
      <c r="F14" s="645" t="str">
        <f>+IF(S14=1,"",IF($S$3=2,INDEX($G$73:$G$109,S14),INDEX($O$73:$O$109,S14)))</f>
        <v/>
      </c>
      <c r="G14" s="646"/>
      <c r="H14" s="182"/>
      <c r="I14" s="2" t="str">
        <f>+IF(OR(F14="FPA",F14="")," ",IF($S$3=2,INDEX($H$73:$H$109,S14),INDEX($P$73:$P$109,S14)))</f>
        <v xml:space="preserve"> </v>
      </c>
      <c r="J14" s="1" t="str">
        <f>+IF(I14=" ","",H14*I14)</f>
        <v/>
      </c>
      <c r="S14" s="160">
        <v>1</v>
      </c>
    </row>
    <row r="15" spans="1:19" ht="15" customHeight="1" x14ac:dyDescent="0.25">
      <c r="F15" s="645" t="str">
        <f>+IF(S15=1,"",IF($S$3=2,INDEX($G$73:$G$109,S15),INDEX($O$73:$O$109,S15)))</f>
        <v/>
      </c>
      <c r="G15" s="646"/>
      <c r="H15" s="182"/>
      <c r="I15" s="2" t="str">
        <f>+IF(OR(F15="FPA",F15="")," ",IF($S$3=2,INDEX($H$73:$H$109,S15),INDEX($P$73:$P$109,S15)))</f>
        <v xml:space="preserve"> </v>
      </c>
      <c r="J15" s="1" t="str">
        <f>+IF(I15=" ","",H15*I15)</f>
        <v/>
      </c>
      <c r="S15" s="160">
        <v>1</v>
      </c>
    </row>
    <row r="16" spans="1:19" ht="15" customHeight="1" x14ac:dyDescent="0.25">
      <c r="F16" s="645" t="str">
        <f>+IF(S16=1,"",IF($S$3=2,INDEX($G$73:$G$109,S16),INDEX($O$73:$O$109,S16)))</f>
        <v/>
      </c>
      <c r="G16" s="646"/>
      <c r="H16" s="182"/>
      <c r="I16" s="2" t="str">
        <f>+IF(OR(F16="FPA",F16="")," ",IF($S$3=2,INDEX($H$73:$H$109,S16),INDEX($P$73:$P$109,S16)))</f>
        <v xml:space="preserve"> </v>
      </c>
      <c r="J16" s="2" t="str">
        <f>+IF(I16=" ","",H16*I16)</f>
        <v/>
      </c>
      <c r="S16" s="160">
        <v>1</v>
      </c>
    </row>
    <row r="17" spans="1:19" ht="15" customHeight="1" x14ac:dyDescent="0.25">
      <c r="E17" s="163" t="str">
        <f>+IF(OR(F14="FPA",F15="FPA",F16="FPA")," Please summarise First Principles Assessment (FPA):","Do not use this line - First Principles Assessment only")</f>
        <v>Do not use this line - First Principles Assessment only</v>
      </c>
      <c r="F17" s="656"/>
      <c r="G17" s="657"/>
      <c r="H17" s="182"/>
      <c r="I17" s="110"/>
      <c r="J17" s="2">
        <f>+IF(I17=" ","",H17*I17)</f>
        <v>0</v>
      </c>
    </row>
    <row r="18" spans="1:19" x14ac:dyDescent="0.25">
      <c r="I18" s="165" t="s">
        <v>527</v>
      </c>
      <c r="J18" s="19">
        <f>SUM(J14:J17)</f>
        <v>0</v>
      </c>
    </row>
    <row r="20" spans="1:19" x14ac:dyDescent="0.25">
      <c r="A20" s="157" t="s">
        <v>531</v>
      </c>
      <c r="B20" s="159" t="s">
        <v>725</v>
      </c>
    </row>
    <row r="21" spans="1:19" x14ac:dyDescent="0.25">
      <c r="B21" s="3" t="s">
        <v>524</v>
      </c>
      <c r="C21" s="4"/>
      <c r="D21" s="4"/>
      <c r="E21" s="5"/>
      <c r="F21" s="3" t="s">
        <v>526</v>
      </c>
      <c r="G21" s="6"/>
      <c r="H21" s="7" t="s">
        <v>525</v>
      </c>
      <c r="I21" s="8" t="str">
        <f>+I13</f>
        <v>DU/unit</v>
      </c>
      <c r="J21" s="8" t="str">
        <f>+J13</f>
        <v>DU's</v>
      </c>
    </row>
    <row r="22" spans="1:19" ht="15" customHeight="1" x14ac:dyDescent="0.25">
      <c r="F22" s="713" t="str">
        <f>+IF(S22=1,"",IF($S$3=2,INDEX($G$73:$G$109,S22),INDEX($O$73:$O$109,S22)))</f>
        <v/>
      </c>
      <c r="G22" s="714"/>
      <c r="H22" s="182"/>
      <c r="I22" s="242" t="str">
        <f>+IF(OR(F22="FPA",F22="")," ",IF($S$3=2,INDEX($H$73:$H$109,S22),INDEX($P$73:$P$109,S22)))</f>
        <v xml:space="preserve"> </v>
      </c>
      <c r="J22" s="243" t="str">
        <f>+IF(I22=" ","",H22*I22)</f>
        <v/>
      </c>
      <c r="S22" s="160">
        <v>1</v>
      </c>
    </row>
    <row r="23" spans="1:19" ht="15" customHeight="1" x14ac:dyDescent="0.25">
      <c r="F23" s="713" t="str">
        <f>+IF(S23=1,"",IF($S$3=2,INDEX($G$73:$G$109,S23),INDEX($O$73:$O$109,S23)))</f>
        <v/>
      </c>
      <c r="G23" s="714"/>
      <c r="H23" s="182"/>
      <c r="I23" s="242" t="str">
        <f>+IF(OR(F23="FPA",F23="")," ",IF($S$3=2,INDEX($H$73:$H$109,S23),INDEX($P$73:$P$109,S23)))</f>
        <v xml:space="preserve"> </v>
      </c>
      <c r="J23" s="243" t="str">
        <f>+IF(I23=" ","",H23*I23)</f>
        <v/>
      </c>
      <c r="S23" s="160">
        <v>1</v>
      </c>
    </row>
    <row r="24" spans="1:19" ht="15" customHeight="1" x14ac:dyDescent="0.25">
      <c r="F24" s="713" t="str">
        <f>+IF(S24=1,"",IF($S$3=2,INDEX($G$73:$G$109,S24),INDEX($O$73:$O$109,S24)))</f>
        <v/>
      </c>
      <c r="G24" s="714"/>
      <c r="H24" s="182"/>
      <c r="I24" s="242" t="str">
        <f>+IF(OR(F24="FPA",F24="")," ",IF($S$3=2,INDEX($H$73:$H$109,S24),INDEX($P$73:$P$109,S24)))</f>
        <v xml:space="preserve"> </v>
      </c>
      <c r="J24" s="242" t="str">
        <f>+IF(I24=" ","",H24*I24)</f>
        <v/>
      </c>
      <c r="S24" s="160">
        <v>1</v>
      </c>
    </row>
    <row r="25" spans="1:19" ht="15" customHeight="1" x14ac:dyDescent="0.25">
      <c r="E25" s="163" t="str">
        <f>+IF(OR(F22="FPA",F23="FPA",F24="FPA")," Please summarise First Principles Assessment (FPA):","Do not use this line - First Principles Assessment only:")</f>
        <v>Do not use this line - First Principles Assessment only:</v>
      </c>
      <c r="F25" s="656"/>
      <c r="G25" s="657"/>
      <c r="H25" s="182"/>
      <c r="I25" s="110"/>
      <c r="J25" s="2">
        <f>+IF(I25=" ","",H25*I25)</f>
        <v>0</v>
      </c>
    </row>
    <row r="26" spans="1:19" x14ac:dyDescent="0.25">
      <c r="I26" s="165" t="s">
        <v>528</v>
      </c>
      <c r="J26" s="19">
        <f>SUM(J22:J25)</f>
        <v>0</v>
      </c>
    </row>
    <row r="28" spans="1:19" x14ac:dyDescent="0.25">
      <c r="A28" s="157" t="s">
        <v>532</v>
      </c>
      <c r="B28" s="159" t="s">
        <v>785</v>
      </c>
    </row>
    <row r="29" spans="1:19" x14ac:dyDescent="0.25">
      <c r="B29" s="584" t="s">
        <v>772</v>
      </c>
      <c r="C29" s="676"/>
      <c r="D29" s="676"/>
      <c r="E29" s="676"/>
      <c r="F29" s="585"/>
      <c r="G29" s="26" t="s">
        <v>778</v>
      </c>
    </row>
    <row r="30" spans="1:19" x14ac:dyDescent="0.25">
      <c r="B30" s="641"/>
      <c r="C30" s="677"/>
      <c r="D30" s="677"/>
      <c r="E30" s="677"/>
      <c r="F30" s="642"/>
      <c r="G30" s="27" t="str">
        <f>+K9</f>
        <v>Jun '09</v>
      </c>
    </row>
    <row r="31" spans="1:19" ht="18.75" customHeight="1" x14ac:dyDescent="0.25">
      <c r="B31" s="12" t="s">
        <v>786</v>
      </c>
      <c r="C31" s="13"/>
      <c r="D31" s="13"/>
      <c r="E31" s="29" t="s">
        <v>787</v>
      </c>
      <c r="F31" s="14"/>
      <c r="G31" s="28">
        <f>+IF(J18&gt;J26,(J18-J26)*J9,0)</f>
        <v>0</v>
      </c>
      <c r="H31" s="172" t="str">
        <f>+IF(J26&gt;J18,"No credit in excess of the demand is given","")</f>
        <v/>
      </c>
    </row>
    <row r="32" spans="1:19" x14ac:dyDescent="0.25">
      <c r="A32" s="157"/>
      <c r="B32" s="157"/>
      <c r="C32" s="172"/>
    </row>
    <row r="33" spans="1:3" x14ac:dyDescent="0.25">
      <c r="A33" s="157"/>
      <c r="B33" s="157"/>
      <c r="C33" s="172"/>
    </row>
    <row r="34" spans="1:3" x14ac:dyDescent="0.25">
      <c r="A34" s="157"/>
      <c r="B34" s="157"/>
      <c r="C34" s="172"/>
    </row>
    <row r="35" spans="1:3" x14ac:dyDescent="0.25">
      <c r="A35" s="157"/>
      <c r="B35" s="157"/>
      <c r="C35" s="172"/>
    </row>
    <row r="36" spans="1:3" x14ac:dyDescent="0.25">
      <c r="A36" s="157"/>
      <c r="B36" s="157"/>
      <c r="C36" s="172"/>
    </row>
    <row r="37" spans="1:3" x14ac:dyDescent="0.25">
      <c r="A37" s="157"/>
      <c r="B37" s="157"/>
      <c r="C37" s="172"/>
    </row>
    <row r="38" spans="1:3" x14ac:dyDescent="0.25">
      <c r="A38" s="157"/>
      <c r="B38" s="157"/>
      <c r="C38" s="172"/>
    </row>
    <row r="39" spans="1:3" x14ac:dyDescent="0.25">
      <c r="A39" s="157"/>
      <c r="B39" s="157"/>
      <c r="C39" s="172"/>
    </row>
    <row r="40" spans="1:3" x14ac:dyDescent="0.25">
      <c r="A40" s="157"/>
      <c r="B40" s="157"/>
      <c r="C40" s="172"/>
    </row>
    <row r="41" spans="1:3" x14ac:dyDescent="0.25">
      <c r="A41" s="157"/>
      <c r="B41" s="157"/>
      <c r="C41" s="172"/>
    </row>
    <row r="42" spans="1:3" x14ac:dyDescent="0.25">
      <c r="A42" s="157"/>
      <c r="B42" s="157"/>
      <c r="C42" s="172"/>
    </row>
    <row r="43" spans="1:3" x14ac:dyDescent="0.25">
      <c r="A43" s="157"/>
      <c r="B43" s="157"/>
      <c r="C43" s="172"/>
    </row>
    <row r="44" spans="1:3" x14ac:dyDescent="0.25">
      <c r="A44" s="157"/>
      <c r="B44" s="157"/>
      <c r="C44" s="172"/>
    </row>
    <row r="45" spans="1:3" x14ac:dyDescent="0.25">
      <c r="A45" s="157"/>
      <c r="B45" s="157"/>
      <c r="C45" s="172"/>
    </row>
    <row r="46" spans="1:3" x14ac:dyDescent="0.25">
      <c r="A46" s="157"/>
      <c r="B46" s="157"/>
      <c r="C46" s="172"/>
    </row>
    <row r="47" spans="1:3" x14ac:dyDescent="0.25">
      <c r="A47" s="157"/>
      <c r="B47" s="157"/>
      <c r="C47" s="172"/>
    </row>
    <row r="48" spans="1:3" x14ac:dyDescent="0.25">
      <c r="A48" s="157"/>
      <c r="B48" s="157"/>
      <c r="C48" s="172"/>
    </row>
    <row r="49" spans="1:5" x14ac:dyDescent="0.25">
      <c r="A49" s="157"/>
      <c r="B49" s="157"/>
      <c r="C49" s="172"/>
    </row>
    <row r="50" spans="1:5" x14ac:dyDescent="0.25">
      <c r="A50" s="157"/>
      <c r="B50" s="157"/>
      <c r="C50" s="172"/>
    </row>
    <row r="51" spans="1:5" x14ac:dyDescent="0.25">
      <c r="A51" s="157"/>
      <c r="B51" s="157"/>
      <c r="C51" s="172"/>
    </row>
    <row r="52" spans="1:5" x14ac:dyDescent="0.25">
      <c r="A52" s="157"/>
      <c r="B52" s="157"/>
      <c r="C52" s="172"/>
    </row>
    <row r="53" spans="1:5" x14ac:dyDescent="0.25">
      <c r="A53" s="157"/>
      <c r="B53" s="157"/>
      <c r="C53" s="172"/>
    </row>
    <row r="54" spans="1:5" x14ac:dyDescent="0.25">
      <c r="A54" s="157"/>
      <c r="B54" s="157"/>
      <c r="C54" s="172"/>
    </row>
    <row r="55" spans="1:5" x14ac:dyDescent="0.25">
      <c r="A55" s="157"/>
      <c r="B55" s="157"/>
      <c r="C55" s="172"/>
    </row>
    <row r="60" spans="1:5" x14ac:dyDescent="0.25">
      <c r="B60" s="180" t="s">
        <v>534</v>
      </c>
    </row>
    <row r="62" spans="1:5" x14ac:dyDescent="0.25">
      <c r="B62" s="684" t="s">
        <v>522</v>
      </c>
      <c r="C62" s="685"/>
      <c r="D62" s="685"/>
      <c r="E62" s="686"/>
    </row>
    <row r="63" spans="1:5" x14ac:dyDescent="0.25">
      <c r="B63" s="20" t="s">
        <v>527</v>
      </c>
      <c r="C63" s="21"/>
      <c r="D63" s="21"/>
      <c r="E63" s="22"/>
    </row>
    <row r="64" spans="1:5" x14ac:dyDescent="0.25">
      <c r="B64" s="187" t="s">
        <v>523</v>
      </c>
      <c r="C64" s="188"/>
      <c r="D64" s="188"/>
      <c r="E64" s="189"/>
    </row>
    <row r="65" spans="2:16" x14ac:dyDescent="0.25">
      <c r="B65" s="187" t="s">
        <v>769</v>
      </c>
      <c r="C65" s="188"/>
      <c r="D65" s="188"/>
      <c r="E65" s="189"/>
    </row>
    <row r="66" spans="2:16" ht="12.75" customHeight="1" x14ac:dyDescent="0.25">
      <c r="B66" s="107"/>
      <c r="C66" s="190"/>
      <c r="D66" s="190"/>
      <c r="E66" s="191"/>
    </row>
    <row r="71" spans="2:16" x14ac:dyDescent="0.25">
      <c r="B71" s="607" t="s">
        <v>589</v>
      </c>
      <c r="C71" s="608"/>
      <c r="D71" s="608"/>
      <c r="E71" s="608"/>
      <c r="F71" s="608"/>
      <c r="G71" s="608"/>
      <c r="H71" s="609"/>
      <c r="J71" s="711" t="s">
        <v>591</v>
      </c>
      <c r="K71" s="712"/>
      <c r="L71" s="712"/>
      <c r="M71" s="712"/>
      <c r="N71" s="712"/>
      <c r="O71" s="712"/>
      <c r="P71" s="708"/>
    </row>
    <row r="72" spans="2:16" x14ac:dyDescent="0.25">
      <c r="B72" s="641" t="s">
        <v>508</v>
      </c>
      <c r="C72" s="677"/>
      <c r="D72" s="677"/>
      <c r="E72" s="677"/>
      <c r="F72" s="642"/>
      <c r="G72" s="245" t="s">
        <v>509</v>
      </c>
      <c r="H72" s="246" t="s">
        <v>768</v>
      </c>
      <c r="J72" s="641" t="s">
        <v>508</v>
      </c>
      <c r="K72" s="677"/>
      <c r="L72" s="677"/>
      <c r="M72" s="677"/>
      <c r="N72" s="642"/>
      <c r="O72" s="245" t="s">
        <v>509</v>
      </c>
      <c r="P72" s="246" t="str">
        <f>+H72</f>
        <v>EDU/unit</v>
      </c>
    </row>
    <row r="73" spans="2:16" x14ac:dyDescent="0.25">
      <c r="B73" s="101"/>
      <c r="C73" s="114"/>
      <c r="D73" s="114"/>
      <c r="E73" s="114"/>
      <c r="F73" s="114"/>
      <c r="G73" s="101"/>
      <c r="H73" s="102"/>
      <c r="J73" s="101"/>
      <c r="K73" s="114"/>
      <c r="L73" s="114"/>
      <c r="M73" s="114"/>
      <c r="N73" s="114"/>
      <c r="O73" s="101"/>
      <c r="P73" s="102"/>
    </row>
    <row r="74" spans="2:16" x14ac:dyDescent="0.25">
      <c r="B74" s="187" t="s">
        <v>728</v>
      </c>
      <c r="C74" s="188"/>
      <c r="D74" s="188"/>
      <c r="E74" s="188"/>
      <c r="F74" s="188"/>
      <c r="G74" s="197"/>
      <c r="H74" s="194"/>
      <c r="J74" s="187" t="s">
        <v>728</v>
      </c>
      <c r="K74" s="188"/>
      <c r="L74" s="188"/>
      <c r="M74" s="188"/>
      <c r="N74" s="188"/>
      <c r="O74" s="197"/>
      <c r="P74" s="194"/>
    </row>
    <row r="75" spans="2:16" x14ac:dyDescent="0.25">
      <c r="B75" s="187" t="s">
        <v>504</v>
      </c>
      <c r="C75" s="188"/>
      <c r="D75" s="188"/>
      <c r="E75" s="188"/>
      <c r="F75" s="188"/>
      <c r="G75" s="197" t="s">
        <v>510</v>
      </c>
      <c r="H75" s="194">
        <v>1</v>
      </c>
      <c r="J75" s="187" t="s">
        <v>504</v>
      </c>
      <c r="K75" s="188"/>
      <c r="L75" s="188"/>
      <c r="M75" s="188"/>
      <c r="N75" s="188"/>
      <c r="O75" s="197" t="s">
        <v>679</v>
      </c>
      <c r="P75" s="194">
        <v>1</v>
      </c>
    </row>
    <row r="76" spans="2:16" x14ac:dyDescent="0.25">
      <c r="B76" s="187" t="s">
        <v>505</v>
      </c>
      <c r="C76" s="188"/>
      <c r="D76" s="188"/>
      <c r="E76" s="188"/>
      <c r="F76" s="188"/>
      <c r="G76" s="197" t="s">
        <v>510</v>
      </c>
      <c r="H76" s="194">
        <v>1</v>
      </c>
      <c r="J76" s="187" t="s">
        <v>505</v>
      </c>
      <c r="K76" s="188"/>
      <c r="L76" s="188"/>
      <c r="M76" s="188"/>
      <c r="N76" s="188"/>
      <c r="O76" s="197" t="s">
        <v>679</v>
      </c>
      <c r="P76" s="194">
        <v>0.8</v>
      </c>
    </row>
    <row r="77" spans="2:16" x14ac:dyDescent="0.25">
      <c r="B77" s="187" t="s">
        <v>730</v>
      </c>
      <c r="C77" s="188"/>
      <c r="D77" s="188"/>
      <c r="E77" s="188"/>
      <c r="F77" s="188"/>
      <c r="G77" s="197" t="s">
        <v>510</v>
      </c>
      <c r="H77" s="194">
        <v>1</v>
      </c>
      <c r="J77" s="187" t="s">
        <v>730</v>
      </c>
      <c r="K77" s="188"/>
      <c r="L77" s="188"/>
      <c r="M77" s="188"/>
      <c r="N77" s="188"/>
      <c r="O77" s="197" t="s">
        <v>679</v>
      </c>
      <c r="P77" s="194">
        <v>1</v>
      </c>
    </row>
    <row r="78" spans="2:16" x14ac:dyDescent="0.25">
      <c r="B78" s="107"/>
      <c r="C78" s="190"/>
      <c r="D78" s="190"/>
      <c r="E78" s="190"/>
      <c r="F78" s="190"/>
      <c r="G78" s="198"/>
      <c r="H78" s="195"/>
      <c r="J78" s="107"/>
      <c r="K78" s="190"/>
      <c r="L78" s="190"/>
      <c r="M78" s="190"/>
      <c r="N78" s="190"/>
      <c r="O78" s="198"/>
      <c r="P78" s="195"/>
    </row>
    <row r="79" spans="2:16" x14ac:dyDescent="0.25">
      <c r="B79" s="20" t="s">
        <v>736</v>
      </c>
      <c r="C79" s="21"/>
      <c r="D79" s="21"/>
      <c r="E79" s="21"/>
      <c r="F79" s="21"/>
      <c r="G79" s="193"/>
      <c r="H79" s="199"/>
      <c r="J79" s="20" t="s">
        <v>736</v>
      </c>
      <c r="K79" s="21"/>
      <c r="L79" s="21"/>
      <c r="M79" s="21"/>
      <c r="N79" s="21"/>
      <c r="O79" s="193"/>
      <c r="P79" s="199"/>
    </row>
    <row r="80" spans="2:16" x14ac:dyDescent="0.25">
      <c r="B80" s="187" t="s">
        <v>737</v>
      </c>
      <c r="C80" s="188"/>
      <c r="D80" s="188"/>
      <c r="E80" s="188"/>
      <c r="F80" s="188"/>
      <c r="G80" s="197" t="s">
        <v>510</v>
      </c>
      <c r="H80" s="194">
        <v>1</v>
      </c>
      <c r="J80" s="187" t="s">
        <v>737</v>
      </c>
      <c r="K80" s="188"/>
      <c r="L80" s="188"/>
      <c r="M80" s="188"/>
      <c r="N80" s="188"/>
      <c r="O80" s="197" t="s">
        <v>679</v>
      </c>
      <c r="P80" s="194">
        <v>1</v>
      </c>
    </row>
    <row r="81" spans="2:16" x14ac:dyDescent="0.25">
      <c r="B81" s="187" t="s">
        <v>738</v>
      </c>
      <c r="C81" s="188"/>
      <c r="D81" s="188"/>
      <c r="E81" s="188"/>
      <c r="F81" s="188"/>
      <c r="G81" s="197" t="s">
        <v>510</v>
      </c>
      <c r="H81" s="194">
        <v>1</v>
      </c>
      <c r="J81" s="187" t="s">
        <v>738</v>
      </c>
      <c r="K81" s="188"/>
      <c r="L81" s="188"/>
      <c r="M81" s="188"/>
      <c r="N81" s="188"/>
      <c r="O81" s="197" t="s">
        <v>679</v>
      </c>
      <c r="P81" s="194">
        <v>1</v>
      </c>
    </row>
    <row r="82" spans="2:16" x14ac:dyDescent="0.25">
      <c r="B82" s="187" t="s">
        <v>739</v>
      </c>
      <c r="C82" s="188"/>
      <c r="D82" s="188"/>
      <c r="E82" s="188"/>
      <c r="F82" s="188"/>
      <c r="G82" s="197" t="s">
        <v>510</v>
      </c>
      <c r="H82" s="194">
        <v>1</v>
      </c>
      <c r="J82" s="187" t="s">
        <v>739</v>
      </c>
      <c r="K82" s="188"/>
      <c r="L82" s="188"/>
      <c r="M82" s="188"/>
      <c r="N82" s="188"/>
      <c r="O82" s="197" t="s">
        <v>679</v>
      </c>
      <c r="P82" s="194">
        <v>1</v>
      </c>
    </row>
    <row r="83" spans="2:16" x14ac:dyDescent="0.25">
      <c r="B83" s="187"/>
      <c r="C83" s="188"/>
      <c r="D83" s="188"/>
      <c r="E83" s="188"/>
      <c r="F83" s="188"/>
      <c r="G83" s="197"/>
      <c r="H83" s="194"/>
      <c r="J83" s="187"/>
      <c r="K83" s="188"/>
      <c r="L83" s="188"/>
      <c r="M83" s="188"/>
      <c r="N83" s="188"/>
      <c r="O83" s="197"/>
      <c r="P83" s="194"/>
    </row>
    <row r="84" spans="2:16" x14ac:dyDescent="0.25">
      <c r="B84" s="20" t="s">
        <v>740</v>
      </c>
      <c r="C84" s="21"/>
      <c r="D84" s="21"/>
      <c r="E84" s="21"/>
      <c r="F84" s="21"/>
      <c r="G84" s="193"/>
      <c r="H84" s="199"/>
      <c r="J84" s="20" t="s">
        <v>740</v>
      </c>
      <c r="K84" s="21"/>
      <c r="L84" s="21"/>
      <c r="M84" s="21"/>
      <c r="N84" s="21"/>
      <c r="O84" s="193"/>
      <c r="P84" s="199"/>
    </row>
    <row r="85" spans="2:16" x14ac:dyDescent="0.25">
      <c r="B85" s="187" t="s">
        <v>737</v>
      </c>
      <c r="C85" s="188"/>
      <c r="D85" s="188"/>
      <c r="E85" s="188"/>
      <c r="F85" s="188"/>
      <c r="G85" s="197" t="s">
        <v>510</v>
      </c>
      <c r="H85" s="194">
        <v>1</v>
      </c>
      <c r="J85" s="187" t="s">
        <v>737</v>
      </c>
      <c r="K85" s="188"/>
      <c r="L85" s="188"/>
      <c r="M85" s="188"/>
      <c r="N85" s="188"/>
      <c r="O85" s="197" t="s">
        <v>679</v>
      </c>
      <c r="P85" s="194">
        <v>1</v>
      </c>
    </row>
    <row r="86" spans="2:16" x14ac:dyDescent="0.25">
      <c r="B86" s="187"/>
      <c r="C86" s="188"/>
      <c r="D86" s="188"/>
      <c r="E86" s="188"/>
      <c r="F86" s="188"/>
      <c r="G86" s="197"/>
      <c r="H86" s="194"/>
      <c r="J86" s="187"/>
      <c r="K86" s="188"/>
      <c r="L86" s="188"/>
      <c r="M86" s="188"/>
      <c r="N86" s="188"/>
      <c r="O86" s="197"/>
      <c r="P86" s="194"/>
    </row>
    <row r="87" spans="2:16" x14ac:dyDescent="0.25">
      <c r="B87" s="20" t="s">
        <v>741</v>
      </c>
      <c r="C87" s="21"/>
      <c r="D87" s="21"/>
      <c r="E87" s="21"/>
      <c r="F87" s="21"/>
      <c r="G87" s="193"/>
      <c r="H87" s="199"/>
      <c r="J87" s="20" t="s">
        <v>741</v>
      </c>
      <c r="K87" s="21"/>
      <c r="L87" s="21"/>
      <c r="M87" s="21"/>
      <c r="N87" s="21"/>
      <c r="O87" s="193"/>
      <c r="P87" s="199"/>
    </row>
    <row r="88" spans="2:16" x14ac:dyDescent="0.25">
      <c r="B88" s="187" t="s">
        <v>726</v>
      </c>
      <c r="C88" s="188"/>
      <c r="D88" s="188"/>
      <c r="E88" s="188"/>
      <c r="F88" s="188"/>
      <c r="G88" s="197" t="s">
        <v>512</v>
      </c>
      <c r="H88" s="194"/>
      <c r="J88" s="187" t="s">
        <v>726</v>
      </c>
      <c r="K88" s="188"/>
      <c r="L88" s="188"/>
      <c r="M88" s="188"/>
      <c r="N88" s="188"/>
      <c r="O88" s="197" t="s">
        <v>512</v>
      </c>
      <c r="P88" s="194"/>
    </row>
    <row r="89" spans="2:16" x14ac:dyDescent="0.25">
      <c r="B89" s="187" t="s">
        <v>754</v>
      </c>
      <c r="C89" s="188"/>
      <c r="D89" s="188"/>
      <c r="E89" s="188"/>
      <c r="F89" s="188"/>
      <c r="G89" s="197" t="s">
        <v>512</v>
      </c>
      <c r="H89" s="194"/>
      <c r="J89" s="187" t="s">
        <v>754</v>
      </c>
      <c r="K89" s="188"/>
      <c r="L89" s="188"/>
      <c r="M89" s="188"/>
      <c r="N89" s="188"/>
      <c r="O89" s="197" t="s">
        <v>512</v>
      </c>
      <c r="P89" s="194"/>
    </row>
    <row r="90" spans="2:16" x14ac:dyDescent="0.25">
      <c r="B90" s="187" t="s">
        <v>755</v>
      </c>
      <c r="C90" s="188"/>
      <c r="D90" s="188"/>
      <c r="E90" s="188"/>
      <c r="F90" s="188"/>
      <c r="G90" s="197" t="s">
        <v>512</v>
      </c>
      <c r="H90" s="194"/>
      <c r="J90" s="187" t="s">
        <v>755</v>
      </c>
      <c r="K90" s="188"/>
      <c r="L90" s="188"/>
      <c r="M90" s="188"/>
      <c r="N90" s="188"/>
      <c r="O90" s="197" t="s">
        <v>512</v>
      </c>
      <c r="P90" s="194"/>
    </row>
    <row r="91" spans="2:16" x14ac:dyDescent="0.25">
      <c r="B91" s="187" t="s">
        <v>756</v>
      </c>
      <c r="C91" s="188"/>
      <c r="D91" s="188"/>
      <c r="E91" s="188"/>
      <c r="F91" s="188"/>
      <c r="G91" s="197" t="s">
        <v>512</v>
      </c>
      <c r="H91" s="194"/>
      <c r="J91" s="187" t="s">
        <v>756</v>
      </c>
      <c r="K91" s="188"/>
      <c r="L91" s="188"/>
      <c r="M91" s="188"/>
      <c r="N91" s="188"/>
      <c r="O91" s="197" t="s">
        <v>512</v>
      </c>
      <c r="P91" s="194"/>
    </row>
    <row r="92" spans="2:16" x14ac:dyDescent="0.25">
      <c r="B92" s="187"/>
      <c r="C92" s="188"/>
      <c r="D92" s="188"/>
      <c r="E92" s="188"/>
      <c r="F92" s="188"/>
      <c r="G92" s="197"/>
      <c r="H92" s="194"/>
      <c r="J92" s="187"/>
      <c r="K92" s="188"/>
      <c r="L92" s="188"/>
      <c r="M92" s="188"/>
      <c r="N92" s="188"/>
      <c r="O92" s="197"/>
      <c r="P92" s="194"/>
    </row>
    <row r="93" spans="2:16" x14ac:dyDescent="0.25">
      <c r="B93" s="20" t="s">
        <v>742</v>
      </c>
      <c r="C93" s="21"/>
      <c r="D93" s="21"/>
      <c r="E93" s="21"/>
      <c r="F93" s="21"/>
      <c r="G93" s="193"/>
      <c r="H93" s="199"/>
      <c r="J93" s="20" t="s">
        <v>742</v>
      </c>
      <c r="K93" s="21"/>
      <c r="L93" s="21"/>
      <c r="M93" s="21"/>
      <c r="N93" s="21"/>
      <c r="O93" s="193"/>
      <c r="P93" s="199"/>
    </row>
    <row r="94" spans="2:16" x14ac:dyDescent="0.25">
      <c r="B94" s="187" t="s">
        <v>727</v>
      </c>
      <c r="C94" s="188"/>
      <c r="D94" s="188"/>
      <c r="E94" s="188"/>
      <c r="F94" s="188"/>
      <c r="G94" s="197" t="s">
        <v>512</v>
      </c>
      <c r="H94" s="194"/>
      <c r="J94" s="187" t="s">
        <v>727</v>
      </c>
      <c r="K94" s="188"/>
      <c r="L94" s="188"/>
      <c r="M94" s="188"/>
      <c r="N94" s="188"/>
      <c r="O94" s="197" t="s">
        <v>512</v>
      </c>
      <c r="P94" s="194"/>
    </row>
    <row r="95" spans="2:16" x14ac:dyDescent="0.25">
      <c r="B95" s="187" t="s">
        <v>749</v>
      </c>
      <c r="C95" s="188"/>
      <c r="D95" s="188"/>
      <c r="E95" s="188"/>
      <c r="F95" s="188"/>
      <c r="G95" s="197" t="s">
        <v>512</v>
      </c>
      <c r="H95" s="194"/>
      <c r="J95" s="187" t="s">
        <v>749</v>
      </c>
      <c r="K95" s="188"/>
      <c r="L95" s="188"/>
      <c r="M95" s="188"/>
      <c r="N95" s="188"/>
      <c r="O95" s="197" t="s">
        <v>512</v>
      </c>
      <c r="P95" s="194"/>
    </row>
    <row r="96" spans="2:16" x14ac:dyDescent="0.25">
      <c r="B96" s="187" t="s">
        <v>753</v>
      </c>
      <c r="C96" s="188"/>
      <c r="D96" s="188"/>
      <c r="E96" s="188"/>
      <c r="F96" s="188"/>
      <c r="G96" s="197" t="s">
        <v>512</v>
      </c>
      <c r="H96" s="194"/>
      <c r="J96" s="187" t="s">
        <v>753</v>
      </c>
      <c r="K96" s="188"/>
      <c r="L96" s="188"/>
      <c r="M96" s="188"/>
      <c r="N96" s="188"/>
      <c r="O96" s="197" t="s">
        <v>512</v>
      </c>
      <c r="P96" s="194"/>
    </row>
    <row r="97" spans="2:16" x14ac:dyDescent="0.25">
      <c r="B97" s="107"/>
      <c r="C97" s="190"/>
      <c r="D97" s="190"/>
      <c r="E97" s="190"/>
      <c r="F97" s="190"/>
      <c r="G97" s="195"/>
      <c r="H97" s="244"/>
      <c r="J97" s="107"/>
      <c r="K97" s="190"/>
      <c r="L97" s="190"/>
      <c r="M97" s="190"/>
      <c r="N97" s="190"/>
      <c r="O97" s="195"/>
      <c r="P97" s="244"/>
    </row>
    <row r="98" spans="2:16" x14ac:dyDescent="0.25">
      <c r="B98" s="20" t="s">
        <v>743</v>
      </c>
      <c r="C98" s="188"/>
      <c r="D98" s="188"/>
      <c r="E98" s="188"/>
      <c r="F98" s="188"/>
      <c r="G98" s="197"/>
      <c r="H98" s="194"/>
      <c r="J98" s="20" t="s">
        <v>743</v>
      </c>
      <c r="K98" s="188"/>
      <c r="L98" s="188"/>
      <c r="M98" s="188"/>
      <c r="N98" s="188"/>
      <c r="O98" s="197"/>
      <c r="P98" s="194"/>
    </row>
    <row r="99" spans="2:16" x14ac:dyDescent="0.25">
      <c r="B99" s="187" t="s">
        <v>745</v>
      </c>
      <c r="C99" s="188"/>
      <c r="D99" s="188"/>
      <c r="E99" s="188"/>
      <c r="F99" s="188"/>
      <c r="G99" s="197" t="s">
        <v>512</v>
      </c>
      <c r="H99" s="194"/>
      <c r="J99" s="187" t="s">
        <v>745</v>
      </c>
      <c r="K99" s="188"/>
      <c r="L99" s="188"/>
      <c r="M99" s="188"/>
      <c r="N99" s="188"/>
      <c r="O99" s="197" t="s">
        <v>512</v>
      </c>
      <c r="P99" s="194"/>
    </row>
    <row r="100" spans="2:16" x14ac:dyDescent="0.25">
      <c r="B100" s="187" t="s">
        <v>749</v>
      </c>
      <c r="C100" s="188"/>
      <c r="D100" s="188"/>
      <c r="E100" s="188"/>
      <c r="F100" s="188"/>
      <c r="G100" s="197" t="s">
        <v>512</v>
      </c>
      <c r="H100" s="194"/>
      <c r="J100" s="187" t="s">
        <v>749</v>
      </c>
      <c r="K100" s="188"/>
      <c r="L100" s="188"/>
      <c r="M100" s="188"/>
      <c r="N100" s="188"/>
      <c r="O100" s="197" t="s">
        <v>512</v>
      </c>
      <c r="P100" s="194"/>
    </row>
    <row r="101" spans="2:16" x14ac:dyDescent="0.25">
      <c r="B101" s="187" t="s">
        <v>750</v>
      </c>
      <c r="C101" s="188"/>
      <c r="D101" s="188"/>
      <c r="E101" s="188"/>
      <c r="F101" s="188"/>
      <c r="G101" s="197" t="s">
        <v>512</v>
      </c>
      <c r="H101" s="194"/>
      <c r="J101" s="187" t="s">
        <v>750</v>
      </c>
      <c r="K101" s="188"/>
      <c r="L101" s="188"/>
      <c r="M101" s="188"/>
      <c r="N101" s="188"/>
      <c r="O101" s="197" t="s">
        <v>512</v>
      </c>
      <c r="P101" s="194"/>
    </row>
    <row r="102" spans="2:16" x14ac:dyDescent="0.25">
      <c r="B102" s="187" t="s">
        <v>746</v>
      </c>
      <c r="C102" s="188"/>
      <c r="D102" s="188"/>
      <c r="E102" s="188"/>
      <c r="F102" s="188"/>
      <c r="G102" s="197" t="s">
        <v>510</v>
      </c>
      <c r="H102" s="194">
        <v>1</v>
      </c>
      <c r="J102" s="187" t="s">
        <v>746</v>
      </c>
      <c r="K102" s="188"/>
      <c r="L102" s="188"/>
      <c r="M102" s="188"/>
      <c r="N102" s="188"/>
      <c r="O102" s="197" t="s">
        <v>679</v>
      </c>
      <c r="P102" s="194">
        <v>1</v>
      </c>
    </row>
    <row r="103" spans="2:16" x14ac:dyDescent="0.25">
      <c r="B103" s="187" t="s">
        <v>751</v>
      </c>
      <c r="C103" s="188"/>
      <c r="D103" s="188"/>
      <c r="E103" s="188"/>
      <c r="F103" s="188"/>
      <c r="G103" s="197" t="s">
        <v>510</v>
      </c>
      <c r="H103" s="194">
        <v>1</v>
      </c>
      <c r="J103" s="187" t="s">
        <v>751</v>
      </c>
      <c r="K103" s="188"/>
      <c r="L103" s="188"/>
      <c r="M103" s="188"/>
      <c r="N103" s="188"/>
      <c r="O103" s="197" t="s">
        <v>679</v>
      </c>
      <c r="P103" s="194">
        <v>1</v>
      </c>
    </row>
    <row r="104" spans="2:16" x14ac:dyDescent="0.25">
      <c r="B104" s="187" t="s">
        <v>752</v>
      </c>
      <c r="C104" s="188"/>
      <c r="D104" s="188"/>
      <c r="E104" s="188"/>
      <c r="F104" s="188"/>
      <c r="G104" s="197" t="s">
        <v>510</v>
      </c>
      <c r="H104" s="194">
        <v>1</v>
      </c>
      <c r="J104" s="187" t="s">
        <v>752</v>
      </c>
      <c r="K104" s="188"/>
      <c r="L104" s="188"/>
      <c r="M104" s="188"/>
      <c r="N104" s="188"/>
      <c r="O104" s="197" t="s">
        <v>679</v>
      </c>
      <c r="P104" s="194">
        <v>1</v>
      </c>
    </row>
    <row r="105" spans="2:16" x14ac:dyDescent="0.25">
      <c r="B105" s="187"/>
      <c r="C105" s="188"/>
      <c r="D105" s="188"/>
      <c r="E105" s="188"/>
      <c r="F105" s="188"/>
      <c r="G105" s="197"/>
      <c r="H105" s="194"/>
      <c r="J105" s="187"/>
      <c r="K105" s="188"/>
      <c r="L105" s="188"/>
      <c r="M105" s="188"/>
      <c r="N105" s="188"/>
      <c r="O105" s="197"/>
      <c r="P105" s="194"/>
    </row>
    <row r="106" spans="2:16" x14ac:dyDescent="0.25">
      <c r="B106" s="20" t="s">
        <v>744</v>
      </c>
      <c r="C106" s="21"/>
      <c r="D106" s="21"/>
      <c r="E106" s="21"/>
      <c r="F106" s="21"/>
      <c r="G106" s="193"/>
      <c r="H106" s="199"/>
      <c r="J106" s="20" t="s">
        <v>744</v>
      </c>
      <c r="K106" s="21"/>
      <c r="L106" s="21"/>
      <c r="M106" s="21"/>
      <c r="N106" s="21"/>
      <c r="O106" s="193"/>
      <c r="P106" s="199"/>
    </row>
    <row r="107" spans="2:16" x14ac:dyDescent="0.25">
      <c r="B107" s="187" t="s">
        <v>758</v>
      </c>
      <c r="C107" s="188"/>
      <c r="D107" s="188"/>
      <c r="E107" s="188"/>
      <c r="F107" s="188"/>
      <c r="G107" s="197" t="s">
        <v>510</v>
      </c>
      <c r="H107" s="194">
        <v>1</v>
      </c>
      <c r="J107" s="187" t="s">
        <v>758</v>
      </c>
      <c r="K107" s="188"/>
      <c r="L107" s="188"/>
      <c r="M107" s="188"/>
      <c r="N107" s="188"/>
      <c r="O107" s="197" t="s">
        <v>679</v>
      </c>
      <c r="P107" s="194">
        <v>0.8</v>
      </c>
    </row>
    <row r="108" spans="2:16" x14ac:dyDescent="0.25">
      <c r="B108" s="187" t="s">
        <v>759</v>
      </c>
      <c r="C108" s="188"/>
      <c r="D108" s="188"/>
      <c r="E108" s="188"/>
      <c r="F108" s="188"/>
      <c r="G108" s="197" t="s">
        <v>510</v>
      </c>
      <c r="H108" s="194">
        <v>1</v>
      </c>
      <c r="J108" s="187" t="s">
        <v>759</v>
      </c>
      <c r="K108" s="188"/>
      <c r="L108" s="188"/>
      <c r="M108" s="188"/>
      <c r="N108" s="188"/>
      <c r="O108" s="197" t="s">
        <v>679</v>
      </c>
      <c r="P108" s="194">
        <v>0.8</v>
      </c>
    </row>
    <row r="109" spans="2:16" x14ac:dyDescent="0.25">
      <c r="B109" s="107" t="s">
        <v>760</v>
      </c>
      <c r="C109" s="190"/>
      <c r="D109" s="190"/>
      <c r="E109" s="190"/>
      <c r="F109" s="190"/>
      <c r="G109" s="198" t="s">
        <v>510</v>
      </c>
      <c r="H109" s="195">
        <v>1</v>
      </c>
      <c r="J109" s="107" t="s">
        <v>760</v>
      </c>
      <c r="K109" s="190"/>
      <c r="L109" s="190"/>
      <c r="M109" s="190"/>
      <c r="N109" s="190"/>
      <c r="O109" s="198" t="s">
        <v>679</v>
      </c>
      <c r="P109" s="195">
        <v>0.8</v>
      </c>
    </row>
    <row r="167" spans="10:11" x14ac:dyDescent="0.25">
      <c r="J167" s="158"/>
      <c r="K167" s="158"/>
    </row>
    <row r="168" spans="10:11" x14ac:dyDescent="0.25">
      <c r="J168" s="158"/>
      <c r="K168" s="158"/>
    </row>
    <row r="169" spans="10:11" x14ac:dyDescent="0.25">
      <c r="J169" s="158"/>
      <c r="K169" s="158"/>
    </row>
    <row r="170" spans="10:11" x14ac:dyDescent="0.25">
      <c r="J170" s="158"/>
      <c r="K170" s="158"/>
    </row>
    <row r="171" spans="10:11" x14ac:dyDescent="0.25">
      <c r="J171" s="158"/>
      <c r="K171" s="158"/>
    </row>
    <row r="172" spans="10:11" x14ac:dyDescent="0.25">
      <c r="J172" s="158"/>
      <c r="K172" s="158"/>
    </row>
    <row r="173" spans="10:11" x14ac:dyDescent="0.25">
      <c r="J173" s="158"/>
      <c r="K173" s="158"/>
    </row>
    <row r="174" spans="10:11" x14ac:dyDescent="0.25">
      <c r="J174" s="158"/>
      <c r="K174" s="158"/>
    </row>
    <row r="175" spans="10:11" x14ac:dyDescent="0.25">
      <c r="J175" s="158"/>
      <c r="K175" s="158"/>
    </row>
    <row r="176" spans="10:11" x14ac:dyDescent="0.25">
      <c r="J176" s="158"/>
      <c r="K176" s="158"/>
    </row>
    <row r="177" spans="10:11" x14ac:dyDescent="0.25">
      <c r="J177" s="158"/>
      <c r="K177" s="158"/>
    </row>
    <row r="178" spans="10:11" x14ac:dyDescent="0.25">
      <c r="J178" s="158"/>
      <c r="K178" s="158"/>
    </row>
    <row r="179" spans="10:11" x14ac:dyDescent="0.25">
      <c r="J179" s="158"/>
      <c r="K179" s="158"/>
    </row>
    <row r="180" spans="10:11" x14ac:dyDescent="0.25">
      <c r="J180" s="158"/>
      <c r="K180" s="158"/>
    </row>
    <row r="181" spans="10:11" x14ac:dyDescent="0.25">
      <c r="J181" s="158"/>
      <c r="K181" s="158"/>
    </row>
    <row r="182" spans="10:11" x14ac:dyDescent="0.25">
      <c r="J182" s="158"/>
      <c r="K182" s="158"/>
    </row>
    <row r="183" spans="10:11" x14ac:dyDescent="0.25">
      <c r="J183" s="158"/>
      <c r="K183" s="158"/>
    </row>
    <row r="184" spans="10:11" x14ac:dyDescent="0.25">
      <c r="J184" s="158"/>
      <c r="K184" s="158"/>
    </row>
    <row r="185" spans="10:11" x14ac:dyDescent="0.25">
      <c r="J185" s="158"/>
      <c r="K185" s="158"/>
    </row>
    <row r="186" spans="10:11" x14ac:dyDescent="0.25">
      <c r="J186" s="158"/>
      <c r="K186" s="158"/>
    </row>
    <row r="187" spans="10:11" x14ac:dyDescent="0.25">
      <c r="J187" s="158"/>
      <c r="K187" s="158"/>
    </row>
  </sheetData>
  <sheetProtection password="CDF4" sheet="1" objects="1" scenarios="1"/>
  <mergeCells count="19">
    <mergeCell ref="J7:K7"/>
    <mergeCell ref="B71:H71"/>
    <mergeCell ref="J71:P71"/>
    <mergeCell ref="B72:F72"/>
    <mergeCell ref="J72:N72"/>
    <mergeCell ref="B29:F30"/>
    <mergeCell ref="B62:E62"/>
    <mergeCell ref="F25:G25"/>
    <mergeCell ref="B7:E8"/>
    <mergeCell ref="F17:G17"/>
    <mergeCell ref="F22:G22"/>
    <mergeCell ref="F23:G23"/>
    <mergeCell ref="F24:G24"/>
    <mergeCell ref="A1:I1"/>
    <mergeCell ref="F14:G14"/>
    <mergeCell ref="F15:G15"/>
    <mergeCell ref="F16:G16"/>
    <mergeCell ref="F7:H7"/>
    <mergeCell ref="I7:I8"/>
  </mergeCells>
  <phoneticPr fontId="4" type="noConversion"/>
  <pageMargins left="0.75" right="0.75" top="1" bottom="0.56999999999999995" header="0.5" footer="0.5"/>
  <pageSetup paperSize="9" scale="91"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72" r:id="rId4" name="Drop Down 12">
              <controlPr defaultSize="0" autoLine="0" autoPict="0">
                <anchor moveWithCells="1">
                  <from>
                    <xdr:col>1</xdr:col>
                    <xdr:colOff>7620</xdr:colOff>
                    <xdr:row>13</xdr:row>
                    <xdr:rowOff>0</xdr:rowOff>
                  </from>
                  <to>
                    <xdr:col>5</xdr:col>
                    <xdr:colOff>0</xdr:colOff>
                    <xdr:row>14</xdr:row>
                    <xdr:rowOff>7620</xdr:rowOff>
                  </to>
                </anchor>
              </controlPr>
            </control>
          </mc:Choice>
        </mc:AlternateContent>
        <mc:AlternateContent xmlns:mc="http://schemas.openxmlformats.org/markup-compatibility/2006">
          <mc:Choice Requires="x14">
            <control shapeId="15373" r:id="rId5" name="Drop Down 13">
              <controlPr defaultSize="0" autoLine="0" autoPict="0">
                <anchor moveWithCells="1">
                  <from>
                    <xdr:col>1</xdr:col>
                    <xdr:colOff>7620</xdr:colOff>
                    <xdr:row>14</xdr:row>
                    <xdr:rowOff>0</xdr:rowOff>
                  </from>
                  <to>
                    <xdr:col>5</xdr:col>
                    <xdr:colOff>0</xdr:colOff>
                    <xdr:row>15</xdr:row>
                    <xdr:rowOff>22860</xdr:rowOff>
                  </to>
                </anchor>
              </controlPr>
            </control>
          </mc:Choice>
        </mc:AlternateContent>
        <mc:AlternateContent xmlns:mc="http://schemas.openxmlformats.org/markup-compatibility/2006">
          <mc:Choice Requires="x14">
            <control shapeId="15374" r:id="rId6" name="Drop Down 14">
              <controlPr defaultSize="0" autoLine="0" autoPict="0">
                <anchor moveWithCells="1">
                  <from>
                    <xdr:col>1</xdr:col>
                    <xdr:colOff>7620</xdr:colOff>
                    <xdr:row>15</xdr:row>
                    <xdr:rowOff>0</xdr:rowOff>
                  </from>
                  <to>
                    <xdr:col>5</xdr:col>
                    <xdr:colOff>0</xdr:colOff>
                    <xdr:row>16</xdr:row>
                    <xdr:rowOff>7620</xdr:rowOff>
                  </to>
                </anchor>
              </controlPr>
            </control>
          </mc:Choice>
        </mc:AlternateContent>
        <mc:AlternateContent xmlns:mc="http://schemas.openxmlformats.org/markup-compatibility/2006">
          <mc:Choice Requires="x14">
            <control shapeId="15375" r:id="rId7" name="Drop Down 15">
              <controlPr defaultSize="0" autoLine="0" autoPict="0">
                <anchor moveWithCells="1">
                  <from>
                    <xdr:col>1</xdr:col>
                    <xdr:colOff>7620</xdr:colOff>
                    <xdr:row>21</xdr:row>
                    <xdr:rowOff>0</xdr:rowOff>
                  </from>
                  <to>
                    <xdr:col>5</xdr:col>
                    <xdr:colOff>22860</xdr:colOff>
                    <xdr:row>22</xdr:row>
                    <xdr:rowOff>7620</xdr:rowOff>
                  </to>
                </anchor>
              </controlPr>
            </control>
          </mc:Choice>
        </mc:AlternateContent>
        <mc:AlternateContent xmlns:mc="http://schemas.openxmlformats.org/markup-compatibility/2006">
          <mc:Choice Requires="x14">
            <control shapeId="15376" r:id="rId8" name="Drop Down 16">
              <controlPr defaultSize="0" autoLine="0" autoPict="0">
                <anchor moveWithCells="1">
                  <from>
                    <xdr:col>1</xdr:col>
                    <xdr:colOff>7620</xdr:colOff>
                    <xdr:row>22</xdr:row>
                    <xdr:rowOff>0</xdr:rowOff>
                  </from>
                  <to>
                    <xdr:col>5</xdr:col>
                    <xdr:colOff>7620</xdr:colOff>
                    <xdr:row>23</xdr:row>
                    <xdr:rowOff>7620</xdr:rowOff>
                  </to>
                </anchor>
              </controlPr>
            </control>
          </mc:Choice>
        </mc:AlternateContent>
        <mc:AlternateContent xmlns:mc="http://schemas.openxmlformats.org/markup-compatibility/2006">
          <mc:Choice Requires="x14">
            <control shapeId="15377" r:id="rId9" name="Drop Down 17">
              <controlPr defaultSize="0" autoLine="0" autoPict="0">
                <anchor moveWithCells="1">
                  <from>
                    <xdr:col>1</xdr:col>
                    <xdr:colOff>7620</xdr:colOff>
                    <xdr:row>23</xdr:row>
                    <xdr:rowOff>0</xdr:rowOff>
                  </from>
                  <to>
                    <xdr:col>5</xdr:col>
                    <xdr:colOff>22860</xdr:colOff>
                    <xdr:row>24</xdr:row>
                    <xdr:rowOff>7620</xdr:rowOff>
                  </to>
                </anchor>
              </controlPr>
            </control>
          </mc:Choice>
        </mc:AlternateContent>
        <mc:AlternateContent xmlns:mc="http://schemas.openxmlformats.org/markup-compatibility/2006">
          <mc:Choice Requires="x14">
            <control shapeId="15378" r:id="rId10" name="Drop Down 18">
              <controlPr defaultSize="0" autoLine="0" autoPict="0">
                <anchor moveWithCells="1">
                  <from>
                    <xdr:col>1</xdr:col>
                    <xdr:colOff>7620</xdr:colOff>
                    <xdr:row>23</xdr:row>
                    <xdr:rowOff>0</xdr:rowOff>
                  </from>
                  <to>
                    <xdr:col>5</xdr:col>
                    <xdr:colOff>0</xdr:colOff>
                    <xdr:row>24</xdr:row>
                    <xdr:rowOff>7620</xdr:rowOff>
                  </to>
                </anchor>
              </controlPr>
            </control>
          </mc:Choice>
        </mc:AlternateContent>
        <mc:AlternateContent xmlns:mc="http://schemas.openxmlformats.org/markup-compatibility/2006">
          <mc:Choice Requires="x14">
            <control shapeId="15379" r:id="rId11" name="Drop Down 19">
              <controlPr defaultSize="0" autoLine="0" autoPict="0">
                <anchor moveWithCells="1">
                  <from>
                    <xdr:col>3</xdr:col>
                    <xdr:colOff>99060</xdr:colOff>
                    <xdr:row>2</xdr:row>
                    <xdr:rowOff>60960</xdr:rowOff>
                  </from>
                  <to>
                    <xdr:col>7</xdr:col>
                    <xdr:colOff>381000</xdr:colOff>
                    <xdr:row>3</xdr:row>
                    <xdr:rowOff>68580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S202"/>
  <sheetViews>
    <sheetView showGridLines="0" showZeros="0" zoomScale="75" zoomScaleNormal="75" workbookViewId="0">
      <selection activeCell="G11" sqref="G11"/>
    </sheetView>
  </sheetViews>
  <sheetFormatPr defaultColWidth="9.109375" defaultRowHeight="13.2" x14ac:dyDescent="0.25"/>
  <cols>
    <col min="1" max="1" width="5.109375" style="132" customWidth="1"/>
    <col min="2" max="2" width="11.44140625" style="132" customWidth="1"/>
    <col min="3" max="3" width="10.6640625" style="132" customWidth="1"/>
    <col min="4" max="4" width="14.33203125" style="132" customWidth="1"/>
    <col min="5" max="5" width="13.109375" style="132" customWidth="1"/>
    <col min="6" max="6" width="11.88671875" style="132" customWidth="1"/>
    <col min="7" max="7" width="9.109375" style="132"/>
    <col min="8" max="8" width="11.5546875" style="132" customWidth="1"/>
    <col min="9" max="9" width="11.88671875" style="132" customWidth="1"/>
    <col min="10" max="13" width="9.109375" style="132"/>
    <col min="14" max="14" width="12.109375" style="132" customWidth="1"/>
    <col min="15" max="15" width="12" style="132" customWidth="1"/>
    <col min="16" max="16" width="11.88671875" style="132" customWidth="1"/>
    <col min="17" max="17" width="16.88671875" style="132" customWidth="1"/>
    <col min="18" max="18" width="9.109375" style="132"/>
    <col min="19" max="19" width="9.109375" style="132" hidden="1" customWidth="1"/>
    <col min="20" max="21" width="9.109375" style="132"/>
    <col min="22" max="22" width="12.109375" style="132" customWidth="1"/>
    <col min="23" max="16384" width="9.109375" style="132"/>
  </cols>
  <sheetData>
    <row r="1" spans="1:19" ht="42.75" customHeight="1" x14ac:dyDescent="0.25">
      <c r="A1" s="709" t="s">
        <v>386</v>
      </c>
      <c r="B1" s="709"/>
      <c r="C1" s="709"/>
      <c r="D1" s="709"/>
      <c r="E1" s="709"/>
      <c r="F1" s="709"/>
      <c r="G1" s="709"/>
      <c r="H1" s="709"/>
      <c r="I1" s="709"/>
      <c r="N1" s="237" t="s">
        <v>16</v>
      </c>
    </row>
    <row r="2" spans="1:19" ht="15.6" x14ac:dyDescent="0.3">
      <c r="A2" s="233"/>
      <c r="O2" s="237"/>
    </row>
    <row r="3" spans="1:19" ht="15.6" x14ac:dyDescent="0.3">
      <c r="A3" s="233"/>
      <c r="O3" s="237"/>
    </row>
    <row r="4" spans="1:19" ht="15.6" x14ac:dyDescent="0.3">
      <c r="A4" s="233"/>
      <c r="O4" s="237"/>
    </row>
    <row r="5" spans="1:19" ht="15.6" x14ac:dyDescent="0.3">
      <c r="A5" s="233"/>
      <c r="O5" s="237"/>
    </row>
    <row r="6" spans="1:19" x14ac:dyDescent="0.25">
      <c r="S6" s="160">
        <v>1</v>
      </c>
    </row>
    <row r="7" spans="1:19" x14ac:dyDescent="0.25">
      <c r="A7" s="157" t="s">
        <v>536</v>
      </c>
      <c r="B7" s="159" t="s">
        <v>522</v>
      </c>
      <c r="C7" s="159"/>
      <c r="S7" s="160">
        <v>1</v>
      </c>
    </row>
    <row r="8" spans="1:19" x14ac:dyDescent="0.25">
      <c r="A8" s="157"/>
      <c r="C8" s="159"/>
      <c r="S8" s="160"/>
    </row>
    <row r="9" spans="1:19" x14ac:dyDescent="0.25">
      <c r="A9" s="157">
        <v>2</v>
      </c>
      <c r="B9" s="159" t="s">
        <v>17</v>
      </c>
      <c r="S9" s="160"/>
    </row>
    <row r="10" spans="1:19" ht="15" customHeight="1" x14ac:dyDescent="0.25">
      <c r="B10" s="607" t="s">
        <v>524</v>
      </c>
      <c r="C10" s="608"/>
      <c r="D10" s="609"/>
      <c r="E10" s="607" t="s">
        <v>526</v>
      </c>
      <c r="F10" s="609"/>
      <c r="G10" s="7" t="s">
        <v>525</v>
      </c>
      <c r="H10" s="113" t="s">
        <v>729</v>
      </c>
      <c r="I10" s="66" t="s">
        <v>757</v>
      </c>
      <c r="S10" s="160"/>
    </row>
    <row r="11" spans="1:19" ht="15" customHeight="1" x14ac:dyDescent="0.25">
      <c r="E11" s="645" t="str">
        <f>+IF(S11&gt;1,INDEX($Q$90:$Q$159,S11),"")</f>
        <v/>
      </c>
      <c r="F11" s="646"/>
      <c r="G11" s="110"/>
      <c r="H11" s="109" t="str">
        <f>+IF(OR(E11="FPA",E11="")," ",INDEX($R$90:$R$159,S11))</f>
        <v xml:space="preserve"> </v>
      </c>
      <c r="I11" s="1" t="str">
        <f>+IF(H11=" ","",G11*H11)</f>
        <v/>
      </c>
      <c r="K11" s="180" t="s">
        <v>129</v>
      </c>
      <c r="S11" s="160">
        <v>1</v>
      </c>
    </row>
    <row r="12" spans="1:19" ht="15" customHeight="1" x14ac:dyDescent="0.25">
      <c r="E12" s="645" t="str">
        <f>+IF(S12&gt;1,INDEX($Q$90:$Q$159,S12),"")</f>
        <v/>
      </c>
      <c r="F12" s="646"/>
      <c r="G12" s="110"/>
      <c r="H12" s="109" t="str">
        <f>+IF(OR(E12="FPA",E12="")," ",INDEX($R$90:$R$159,S12))</f>
        <v xml:space="preserve"> </v>
      </c>
      <c r="I12" s="1" t="str">
        <f>+IF(H12=" ","",G12*H12)</f>
        <v/>
      </c>
      <c r="K12" s="132" t="s">
        <v>130</v>
      </c>
      <c r="S12" s="160">
        <v>1</v>
      </c>
    </row>
    <row r="13" spans="1:19" ht="15" customHeight="1" x14ac:dyDescent="0.25">
      <c r="E13" s="645" t="str">
        <f>+IF(S13&gt;1,INDEX($Q$90:$Q$159,S13),"")</f>
        <v/>
      </c>
      <c r="F13" s="646"/>
      <c r="G13" s="110"/>
      <c r="H13" s="109" t="str">
        <f>+IF(OR(E13="FPA",E13="")," ",INDEX($R$90:$R$159,S13))</f>
        <v xml:space="preserve"> </v>
      </c>
      <c r="I13" s="2" t="str">
        <f>+IF(H13=" ","",G13*H13)</f>
        <v/>
      </c>
      <c r="K13" s="132" t="s">
        <v>132</v>
      </c>
      <c r="S13" s="160">
        <v>1</v>
      </c>
    </row>
    <row r="14" spans="1:19" ht="15" customHeight="1" x14ac:dyDescent="0.25">
      <c r="D14" s="163" t="str">
        <f>+IF(OR(E11="FPA",E12="FPA",E13="FPA")," Summarise First Principles Assessment (FPA):","First Principles Assessment only:")</f>
        <v>First Principles Assessment only:</v>
      </c>
      <c r="E14" s="656"/>
      <c r="F14" s="657"/>
      <c r="G14" s="110"/>
      <c r="H14" s="110"/>
      <c r="I14" s="2">
        <f>+IF(H14=" ","",G14*H14)</f>
        <v>0</v>
      </c>
      <c r="K14" s="132" t="s">
        <v>133</v>
      </c>
      <c r="S14" s="160"/>
    </row>
    <row r="15" spans="1:19" ht="15" customHeight="1" x14ac:dyDescent="0.25">
      <c r="H15" s="165" t="s">
        <v>528</v>
      </c>
      <c r="I15" s="19">
        <f>SUM(I11:I14)</f>
        <v>0</v>
      </c>
      <c r="K15" s="132" t="s">
        <v>131</v>
      </c>
      <c r="S15" s="160"/>
    </row>
    <row r="16" spans="1:19" x14ac:dyDescent="0.25">
      <c r="S16" s="160"/>
    </row>
    <row r="17" spans="1:19" x14ac:dyDescent="0.25">
      <c r="A17" s="221">
        <v>3</v>
      </c>
      <c r="B17" s="159" t="s">
        <v>19</v>
      </c>
      <c r="S17" s="160"/>
    </row>
    <row r="18" spans="1:19" ht="15" customHeight="1" x14ac:dyDescent="0.25">
      <c r="B18" s="607" t="s">
        <v>524</v>
      </c>
      <c r="C18" s="608"/>
      <c r="D18" s="609"/>
      <c r="E18" s="607" t="s">
        <v>526</v>
      </c>
      <c r="F18" s="609"/>
      <c r="G18" s="7" t="s">
        <v>525</v>
      </c>
      <c r="H18" s="8" t="str">
        <f>+H10</f>
        <v>TDU/unit</v>
      </c>
      <c r="I18" s="7" t="str">
        <f>+I10</f>
        <v>TDU's</v>
      </c>
      <c r="S18" s="160"/>
    </row>
    <row r="19" spans="1:19" ht="15" customHeight="1" x14ac:dyDescent="0.25">
      <c r="E19" s="645" t="str">
        <f>+IF(S19&gt;1,INDEX($Q$90:$Q$159,S19),"")</f>
        <v/>
      </c>
      <c r="F19" s="646"/>
      <c r="G19" s="110"/>
      <c r="H19" s="109" t="str">
        <f>+IF(OR(E19="FPA",E19="")," ",INDEX($R$90:$R$159,S19))</f>
        <v xml:space="preserve"> </v>
      </c>
      <c r="I19" s="1" t="str">
        <f>+IF(H19=" ","",G19*H19)</f>
        <v/>
      </c>
      <c r="S19" s="160">
        <v>1</v>
      </c>
    </row>
    <row r="20" spans="1:19" ht="15" customHeight="1" x14ac:dyDescent="0.25">
      <c r="E20" s="645" t="str">
        <f>+IF(S20&gt;1,INDEX($Q$90:$Q$159,S20),"")</f>
        <v/>
      </c>
      <c r="F20" s="646"/>
      <c r="G20" s="110"/>
      <c r="H20" s="109" t="str">
        <f>+IF(OR(E20="FPA",E20="")," ",INDEX($R$90:$R$159,S20))</f>
        <v xml:space="preserve"> </v>
      </c>
      <c r="I20" s="1" t="str">
        <f>+IF(H20=" ","",G20*H20)</f>
        <v/>
      </c>
      <c r="S20" s="160">
        <v>1</v>
      </c>
    </row>
    <row r="21" spans="1:19" ht="15" customHeight="1" x14ac:dyDescent="0.25">
      <c r="E21" s="645" t="str">
        <f>+IF(S21&gt;1,INDEX($Q$90:$Q$159,S21),"")</f>
        <v/>
      </c>
      <c r="F21" s="646"/>
      <c r="G21" s="110"/>
      <c r="H21" s="109" t="str">
        <f>+IF(OR(E21="FPA",E21="")," ",INDEX($R$90:$R$159,S21))</f>
        <v xml:space="preserve"> </v>
      </c>
      <c r="I21" s="2" t="str">
        <f>+IF(H21=" ","",G21*H21)</f>
        <v/>
      </c>
      <c r="S21" s="160">
        <v>1</v>
      </c>
    </row>
    <row r="22" spans="1:19" ht="15" customHeight="1" x14ac:dyDescent="0.25">
      <c r="D22" s="163" t="str">
        <f>+IF(OR(E19="FPA",E20="FPA",E21="FPA")," Summarise First Principles Assessment (FPA):","First Principles Assessment only:")</f>
        <v>First Principles Assessment only:</v>
      </c>
      <c r="E22" s="656"/>
      <c r="F22" s="657"/>
      <c r="G22" s="110"/>
      <c r="H22" s="110"/>
      <c r="I22" s="2">
        <f>+IF(H22=" ","",G22*H22)</f>
        <v>0</v>
      </c>
      <c r="S22" s="160"/>
    </row>
    <row r="23" spans="1:19" ht="15" customHeight="1" x14ac:dyDescent="0.25">
      <c r="H23" s="165" t="s">
        <v>528</v>
      </c>
      <c r="I23" s="19">
        <f>SUM(I19:I22)</f>
        <v>0</v>
      </c>
      <c r="S23" s="160"/>
    </row>
    <row r="24" spans="1:19" x14ac:dyDescent="0.25">
      <c r="S24" s="160"/>
    </row>
    <row r="25" spans="1:19" x14ac:dyDescent="0.25">
      <c r="A25" s="157">
        <v>4</v>
      </c>
      <c r="B25" s="159" t="s">
        <v>37</v>
      </c>
      <c r="S25" s="160"/>
    </row>
    <row r="26" spans="1:19" ht="15" customHeight="1" x14ac:dyDescent="0.25">
      <c r="B26" s="584" t="s">
        <v>520</v>
      </c>
      <c r="C26" s="676"/>
      <c r="D26" s="585"/>
      <c r="E26" s="252"/>
      <c r="F26" s="607" t="s">
        <v>533</v>
      </c>
      <c r="G26" s="608"/>
      <c r="H26" s="608"/>
      <c r="I26" s="609"/>
      <c r="J26" s="648" t="s">
        <v>592</v>
      </c>
      <c r="K26" s="607" t="s">
        <v>593</v>
      </c>
      <c r="L26" s="609"/>
      <c r="M26" s="648" t="s">
        <v>148</v>
      </c>
      <c r="S26" s="160"/>
    </row>
    <row r="27" spans="1:19" ht="15" customHeight="1" x14ac:dyDescent="0.25">
      <c r="B27" s="641"/>
      <c r="C27" s="677"/>
      <c r="D27" s="642"/>
      <c r="E27" s="253" t="s">
        <v>580</v>
      </c>
      <c r="F27" s="254" t="s">
        <v>810</v>
      </c>
      <c r="G27" s="65" t="s">
        <v>521</v>
      </c>
      <c r="H27" s="607" t="s">
        <v>846</v>
      </c>
      <c r="I27" s="608"/>
      <c r="J27" s="649"/>
      <c r="K27" s="7" t="str">
        <f>+F27</f>
        <v>$/TDU</v>
      </c>
      <c r="L27" s="7" t="s">
        <v>521</v>
      </c>
      <c r="M27" s="649"/>
      <c r="S27" s="160"/>
    </row>
    <row r="28" spans="1:19" ht="15" customHeight="1" x14ac:dyDescent="0.25">
      <c r="E28" s="129" t="s">
        <v>38</v>
      </c>
      <c r="F28" s="9">
        <f>+INDEX($E$75:$E$85,$S$28)</f>
        <v>0</v>
      </c>
      <c r="G28" s="64" t="s">
        <v>845</v>
      </c>
      <c r="H28" s="130" t="s">
        <v>797</v>
      </c>
      <c r="I28" s="131">
        <v>80.099999999999994</v>
      </c>
      <c r="J28" s="11">
        <f>+'June 2009 Summary'!$D$16/Roads!I28</f>
        <v>1.1885143570536829</v>
      </c>
      <c r="K28" s="9">
        <f>+J28*F28</f>
        <v>0</v>
      </c>
      <c r="L28" s="64" t="str">
        <f>+'June 2009 Summary'!$D$14</f>
        <v>Jun '09</v>
      </c>
      <c r="M28" s="80" t="str">
        <f>+IF(S28=1,"",INDEX($I$75:$I$85,S28))</f>
        <v/>
      </c>
      <c r="S28" s="160">
        <v>1</v>
      </c>
    </row>
    <row r="29" spans="1:19" ht="15" customHeight="1" x14ac:dyDescent="0.25">
      <c r="B29" s="162"/>
      <c r="E29" s="129" t="s">
        <v>39</v>
      </c>
      <c r="F29" s="9">
        <f>+INDEX($F$75:$F$85,$S$28)</f>
        <v>0</v>
      </c>
      <c r="G29" s="64" t="s">
        <v>845</v>
      </c>
      <c r="H29" s="76" t="s">
        <v>597</v>
      </c>
      <c r="I29" s="131">
        <v>84.5</v>
      </c>
      <c r="J29" s="11">
        <f>+'June 2009 Summary'!$D$15/Roads!I29</f>
        <v>1.0994082840236687</v>
      </c>
      <c r="K29" s="9">
        <f>+J29*F29</f>
        <v>0</v>
      </c>
      <c r="L29" s="64" t="str">
        <f>+'June 2009 Summary'!$D$14</f>
        <v>Jun '09</v>
      </c>
      <c r="M29" s="80" t="str">
        <f>+M28</f>
        <v/>
      </c>
    </row>
    <row r="30" spans="1:19" ht="15" customHeight="1" x14ac:dyDescent="0.25">
      <c r="B30" s="162"/>
      <c r="E30" s="129" t="s">
        <v>40</v>
      </c>
      <c r="F30" s="9">
        <f>+INDEX($G$75:$G$85,$S$28)</f>
        <v>0</v>
      </c>
      <c r="G30" s="64" t="s">
        <v>845</v>
      </c>
      <c r="H30" s="130" t="s">
        <v>797</v>
      </c>
      <c r="I30" s="131">
        <v>80.099999999999994</v>
      </c>
      <c r="J30" s="11">
        <f>+'June 2009 Summary'!$D$16/Roads!I30</f>
        <v>1.1885143570536829</v>
      </c>
      <c r="K30" s="9">
        <f>+J30*F30</f>
        <v>0</v>
      </c>
      <c r="L30" s="64" t="str">
        <f>+'June 2009 Summary'!$D$14</f>
        <v>Jun '09</v>
      </c>
      <c r="M30" s="80" t="str">
        <f>+IF(S28=1,"",INDEX($J$75:$J$85,S28))</f>
        <v/>
      </c>
    </row>
    <row r="31" spans="1:19" ht="15" customHeight="1" x14ac:dyDescent="0.25">
      <c r="B31" s="162"/>
      <c r="E31" s="129" t="s">
        <v>41</v>
      </c>
      <c r="F31" s="9">
        <f>+INDEX($H$75:$H$85,$S$28)</f>
        <v>0</v>
      </c>
      <c r="G31" s="64" t="s">
        <v>845</v>
      </c>
      <c r="H31" s="76" t="s">
        <v>597</v>
      </c>
      <c r="I31" s="131">
        <v>84.5</v>
      </c>
      <c r="J31" s="11">
        <f>+'June 2009 Summary'!$D$15/Roads!I31</f>
        <v>1.0994082840236687</v>
      </c>
      <c r="K31" s="9">
        <f>+J31*F31</f>
        <v>0</v>
      </c>
      <c r="L31" s="64" t="str">
        <f>+'June 2009 Summary'!$D$14</f>
        <v>Jun '09</v>
      </c>
      <c r="M31" s="80" t="str">
        <f>+M30</f>
        <v/>
      </c>
    </row>
    <row r="32" spans="1:19" x14ac:dyDescent="0.25">
      <c r="B32" s="162"/>
      <c r="F32" s="237" t="s">
        <v>42</v>
      </c>
    </row>
    <row r="34" spans="1:6" x14ac:dyDescent="0.25">
      <c r="A34" s="157">
        <v>5</v>
      </c>
      <c r="B34" s="159" t="s">
        <v>43</v>
      </c>
    </row>
    <row r="35" spans="1:6" x14ac:dyDescent="0.25">
      <c r="B35" s="171" t="s">
        <v>44</v>
      </c>
      <c r="C35" s="247">
        <f>+IF($I$15&gt;$I$23,($I$15-$I$23)*K28,0)</f>
        <v>0</v>
      </c>
      <c r="D35" s="248" t="str">
        <f>+E28</f>
        <v>TCC Works</v>
      </c>
      <c r="E35" s="172"/>
      <c r="F35" s="172" t="str">
        <f>+IF(I23&gt;I15,"No credit in excess of the demand is given","")</f>
        <v/>
      </c>
    </row>
    <row r="36" spans="1:6" x14ac:dyDescent="0.25">
      <c r="C36" s="247">
        <f>+IF($I$15&gt;$I$23,($I$15-$I$23)*K29,0)</f>
        <v>0</v>
      </c>
      <c r="D36" s="248" t="str">
        <f>+E29</f>
        <v>TCC Land</v>
      </c>
    </row>
    <row r="37" spans="1:6" ht="15" customHeight="1" x14ac:dyDescent="0.25">
      <c r="C37" s="247">
        <f>+IF($I$15&gt;$I$23,($I$15-$I$23)*K30,0)</f>
        <v>0</v>
      </c>
      <c r="D37" s="248" t="str">
        <f>+E30</f>
        <v>SCR Works</v>
      </c>
    </row>
    <row r="38" spans="1:6" ht="15" x14ac:dyDescent="0.4">
      <c r="A38" s="157"/>
      <c r="C38" s="249">
        <f>+IF($I$15&gt;$I$23,($I$15-$I$23)*K31,0)</f>
        <v>0</v>
      </c>
      <c r="D38" s="248" t="str">
        <f>+E31</f>
        <v>SCR Land</v>
      </c>
    </row>
    <row r="39" spans="1:6" x14ac:dyDescent="0.25">
      <c r="C39" s="247">
        <f>SUM(C35:C38)</f>
        <v>0</v>
      </c>
      <c r="D39" s="250" t="str">
        <f>+"("&amp;L28&amp;")"</f>
        <v>(Jun '09)</v>
      </c>
      <c r="E39" s="170"/>
    </row>
    <row r="40" spans="1:6" x14ac:dyDescent="0.25">
      <c r="B40" s="157"/>
      <c r="C40" s="251"/>
    </row>
    <row r="41" spans="1:6" x14ac:dyDescent="0.25">
      <c r="B41" s="157"/>
      <c r="C41" s="251"/>
    </row>
    <row r="42" spans="1:6" x14ac:dyDescent="0.25">
      <c r="B42" s="157"/>
      <c r="C42" s="251"/>
    </row>
    <row r="43" spans="1:6" x14ac:dyDescent="0.25">
      <c r="B43" s="157"/>
      <c r="C43" s="251"/>
    </row>
    <row r="44" spans="1:6" x14ac:dyDescent="0.25">
      <c r="B44" s="157"/>
      <c r="C44" s="251"/>
    </row>
    <row r="45" spans="1:6" x14ac:dyDescent="0.25">
      <c r="B45" s="157"/>
      <c r="C45" s="251"/>
    </row>
    <row r="46" spans="1:6" x14ac:dyDescent="0.25">
      <c r="B46" s="157"/>
      <c r="C46" s="251"/>
    </row>
    <row r="47" spans="1:6" x14ac:dyDescent="0.25">
      <c r="B47" s="157"/>
      <c r="C47" s="251"/>
    </row>
    <row r="48" spans="1:6" x14ac:dyDescent="0.25">
      <c r="B48" s="157"/>
      <c r="C48" s="251"/>
    </row>
    <row r="49" spans="2:6" x14ac:dyDescent="0.25">
      <c r="B49" s="157"/>
      <c r="C49" s="251"/>
    </row>
    <row r="50" spans="2:6" x14ac:dyDescent="0.25">
      <c r="B50" s="157"/>
      <c r="C50" s="251"/>
    </row>
    <row r="51" spans="2:6" x14ac:dyDescent="0.25">
      <c r="B51" s="157"/>
      <c r="C51" s="251"/>
    </row>
    <row r="52" spans="2:6" x14ac:dyDescent="0.25">
      <c r="B52" s="157"/>
      <c r="C52" s="251"/>
    </row>
    <row r="53" spans="2:6" x14ac:dyDescent="0.25">
      <c r="B53" s="157"/>
      <c r="C53" s="251"/>
    </row>
    <row r="54" spans="2:6" x14ac:dyDescent="0.25">
      <c r="B54" s="157"/>
      <c r="C54" s="251"/>
    </row>
    <row r="55" spans="2:6" x14ac:dyDescent="0.25">
      <c r="B55" s="157"/>
      <c r="C55" s="251"/>
    </row>
    <row r="56" spans="2:6" x14ac:dyDescent="0.25">
      <c r="B56" s="157"/>
      <c r="C56" s="251"/>
    </row>
    <row r="57" spans="2:6" x14ac:dyDescent="0.25">
      <c r="B57" s="157"/>
      <c r="C57" s="251"/>
    </row>
    <row r="60" spans="2:6" x14ac:dyDescent="0.25">
      <c r="B60" s="180" t="s">
        <v>534</v>
      </c>
    </row>
    <row r="62" spans="2:6" x14ac:dyDescent="0.25">
      <c r="B62" s="607" t="s">
        <v>522</v>
      </c>
      <c r="C62" s="608"/>
      <c r="D62" s="608"/>
      <c r="E62" s="608"/>
      <c r="F62" s="609"/>
    </row>
    <row r="63" spans="2:6" x14ac:dyDescent="0.25">
      <c r="B63" s="20"/>
      <c r="C63" s="21"/>
      <c r="D63" s="21"/>
      <c r="E63" s="21"/>
      <c r="F63" s="22"/>
    </row>
    <row r="64" spans="2:6" x14ac:dyDescent="0.25">
      <c r="B64" s="187" t="s">
        <v>769</v>
      </c>
      <c r="C64" s="188"/>
      <c r="D64" s="188"/>
      <c r="E64" s="188"/>
      <c r="F64" s="189"/>
    </row>
    <row r="65" spans="2:10" x14ac:dyDescent="0.25">
      <c r="B65" s="187" t="s">
        <v>45</v>
      </c>
      <c r="C65" s="188"/>
      <c r="D65" s="188"/>
      <c r="E65" s="188"/>
      <c r="F65" s="189"/>
    </row>
    <row r="66" spans="2:10" x14ac:dyDescent="0.25">
      <c r="B66" s="107"/>
      <c r="C66" s="190"/>
      <c r="D66" s="190"/>
      <c r="E66" s="190"/>
      <c r="F66" s="191"/>
    </row>
    <row r="72" spans="2:10" x14ac:dyDescent="0.25">
      <c r="B72" s="725" t="s">
        <v>46</v>
      </c>
      <c r="C72" s="726"/>
      <c r="D72" s="726"/>
      <c r="E72" s="726"/>
      <c r="F72" s="726"/>
      <c r="G72" s="726"/>
      <c r="H72" s="727"/>
      <c r="I72" s="721" t="s">
        <v>128</v>
      </c>
      <c r="J72" s="722"/>
    </row>
    <row r="73" spans="2:10" ht="12.75" customHeight="1" x14ac:dyDescent="0.25">
      <c r="B73" s="728" t="s">
        <v>520</v>
      </c>
      <c r="C73" s="729"/>
      <c r="D73" s="730"/>
      <c r="E73" s="719" t="s">
        <v>47</v>
      </c>
      <c r="F73" s="720"/>
      <c r="G73" s="719" t="s">
        <v>48</v>
      </c>
      <c r="H73" s="720"/>
      <c r="I73" s="723"/>
      <c r="J73" s="724"/>
    </row>
    <row r="74" spans="2:10" x14ac:dyDescent="0.25">
      <c r="B74" s="728"/>
      <c r="C74" s="729"/>
      <c r="D74" s="730"/>
      <c r="E74" s="183" t="s">
        <v>49</v>
      </c>
      <c r="F74" s="26" t="s">
        <v>50</v>
      </c>
      <c r="G74" s="183" t="s">
        <v>49</v>
      </c>
      <c r="H74" s="7" t="s">
        <v>50</v>
      </c>
      <c r="I74" s="105" t="s">
        <v>140</v>
      </c>
      <c r="J74" s="105" t="s">
        <v>141</v>
      </c>
    </row>
    <row r="75" spans="2:10" x14ac:dyDescent="0.25">
      <c r="B75" s="715" t="s">
        <v>527</v>
      </c>
      <c r="C75" s="716"/>
      <c r="D75" s="22"/>
      <c r="E75" s="255"/>
      <c r="F75" s="18"/>
      <c r="G75" s="255"/>
      <c r="H75" s="192"/>
      <c r="I75" s="256"/>
      <c r="J75" s="192"/>
    </row>
    <row r="76" spans="2:10" x14ac:dyDescent="0.25">
      <c r="B76" s="224" t="s">
        <v>97</v>
      </c>
      <c r="C76" s="232"/>
      <c r="D76" s="189"/>
      <c r="E76" s="256">
        <v>831</v>
      </c>
      <c r="F76" s="192">
        <v>269</v>
      </c>
      <c r="G76" s="256">
        <v>1340</v>
      </c>
      <c r="H76" s="192">
        <v>34</v>
      </c>
      <c r="I76" s="256" t="s">
        <v>142</v>
      </c>
      <c r="J76" s="192" t="s">
        <v>136</v>
      </c>
    </row>
    <row r="77" spans="2:10" x14ac:dyDescent="0.25">
      <c r="B77" s="224" t="s">
        <v>98</v>
      </c>
      <c r="C77" s="257"/>
      <c r="D77" s="189"/>
      <c r="E77" s="256">
        <v>823</v>
      </c>
      <c r="F77" s="192">
        <v>126</v>
      </c>
      <c r="G77" s="256">
        <v>2259</v>
      </c>
      <c r="H77" s="192">
        <v>34</v>
      </c>
      <c r="I77" s="256" t="s">
        <v>143</v>
      </c>
      <c r="J77" s="192" t="s">
        <v>137</v>
      </c>
    </row>
    <row r="78" spans="2:10" x14ac:dyDescent="0.25">
      <c r="B78" s="224" t="s">
        <v>99</v>
      </c>
      <c r="C78" s="257"/>
      <c r="D78" s="189"/>
      <c r="E78" s="256">
        <v>2772</v>
      </c>
      <c r="F78" s="192">
        <v>343</v>
      </c>
      <c r="G78" s="256">
        <v>2283</v>
      </c>
      <c r="H78" s="192">
        <v>34</v>
      </c>
      <c r="I78" s="256" t="s">
        <v>144</v>
      </c>
      <c r="J78" s="192" t="s">
        <v>146</v>
      </c>
    </row>
    <row r="79" spans="2:10" x14ac:dyDescent="0.25">
      <c r="B79" s="224" t="s">
        <v>100</v>
      </c>
      <c r="C79" s="257"/>
      <c r="D79" s="189"/>
      <c r="E79" s="256">
        <v>90</v>
      </c>
      <c r="F79" s="192">
        <v>1</v>
      </c>
      <c r="G79" s="256">
        <v>3296</v>
      </c>
      <c r="H79" s="192">
        <v>34</v>
      </c>
      <c r="I79" s="256" t="s">
        <v>145</v>
      </c>
      <c r="J79" s="192" t="s">
        <v>147</v>
      </c>
    </row>
    <row r="80" spans="2:10" x14ac:dyDescent="0.25">
      <c r="B80" s="232" t="s">
        <v>527</v>
      </c>
      <c r="C80" s="257"/>
      <c r="D80" s="189"/>
      <c r="E80" s="256" t="s">
        <v>527</v>
      </c>
      <c r="F80" s="192" t="s">
        <v>527</v>
      </c>
      <c r="G80" s="256" t="s">
        <v>527</v>
      </c>
      <c r="H80" s="192" t="s">
        <v>527</v>
      </c>
      <c r="I80" s="256" t="s">
        <v>527</v>
      </c>
      <c r="J80" s="192"/>
    </row>
    <row r="81" spans="2:18" x14ac:dyDescent="0.25">
      <c r="B81" s="232" t="s">
        <v>527</v>
      </c>
      <c r="C81" s="257"/>
      <c r="D81" s="189"/>
      <c r="E81" s="256" t="s">
        <v>527</v>
      </c>
      <c r="F81" s="192" t="s">
        <v>527</v>
      </c>
      <c r="G81" s="256" t="s">
        <v>527</v>
      </c>
      <c r="H81" s="192" t="s">
        <v>527</v>
      </c>
      <c r="I81" s="256"/>
      <c r="J81" s="192"/>
    </row>
    <row r="82" spans="2:18" x14ac:dyDescent="0.25">
      <c r="B82" s="232" t="s">
        <v>527</v>
      </c>
      <c r="C82" s="257"/>
      <c r="D82" s="189"/>
      <c r="E82" s="256" t="s">
        <v>527</v>
      </c>
      <c r="F82" s="192" t="s">
        <v>527</v>
      </c>
      <c r="G82" s="256" t="s">
        <v>527</v>
      </c>
      <c r="H82" s="192" t="s">
        <v>527</v>
      </c>
      <c r="I82" s="256"/>
      <c r="J82" s="192"/>
    </row>
    <row r="83" spans="2:18" x14ac:dyDescent="0.25">
      <c r="B83" s="232" t="s">
        <v>527</v>
      </c>
      <c r="C83" s="257"/>
      <c r="D83" s="189"/>
      <c r="E83" s="256" t="s">
        <v>527</v>
      </c>
      <c r="F83" s="192" t="s">
        <v>527</v>
      </c>
      <c r="G83" s="256" t="s">
        <v>527</v>
      </c>
      <c r="H83" s="192" t="s">
        <v>527</v>
      </c>
      <c r="I83" s="256"/>
      <c r="J83" s="192"/>
    </row>
    <row r="84" spans="2:18" x14ac:dyDescent="0.25">
      <c r="B84" s="232" t="s">
        <v>527</v>
      </c>
      <c r="C84" s="257"/>
      <c r="D84" s="189"/>
      <c r="E84" s="256" t="s">
        <v>527</v>
      </c>
      <c r="F84" s="192" t="s">
        <v>527</v>
      </c>
      <c r="G84" s="256" t="s">
        <v>527</v>
      </c>
      <c r="H84" s="192" t="s">
        <v>527</v>
      </c>
      <c r="I84" s="256"/>
      <c r="J84" s="192"/>
    </row>
    <row r="85" spans="2:18" x14ac:dyDescent="0.25">
      <c r="B85" s="717" t="s">
        <v>527</v>
      </c>
      <c r="C85" s="718"/>
      <c r="D85" s="191"/>
      <c r="E85" s="259" t="s">
        <v>527</v>
      </c>
      <c r="F85" s="106" t="s">
        <v>527</v>
      </c>
      <c r="G85" s="259" t="s">
        <v>527</v>
      </c>
      <c r="H85" s="106" t="s">
        <v>527</v>
      </c>
      <c r="I85" s="259"/>
      <c r="J85" s="106"/>
    </row>
    <row r="88" spans="2:18" ht="12.75" customHeight="1" x14ac:dyDescent="0.25">
      <c r="B88" s="605" t="s">
        <v>27</v>
      </c>
      <c r="C88" s="596"/>
      <c r="D88" s="596"/>
      <c r="E88" s="596"/>
      <c r="F88" s="597"/>
      <c r="H88" s="605" t="s">
        <v>51</v>
      </c>
      <c r="I88" s="596"/>
      <c r="J88" s="596"/>
      <c r="K88" s="596"/>
      <c r="L88" s="597"/>
      <c r="N88" s="605" t="s">
        <v>535</v>
      </c>
      <c r="O88" s="596"/>
      <c r="P88" s="596"/>
      <c r="Q88" s="596"/>
      <c r="R88" s="597"/>
    </row>
    <row r="89" spans="2:18" x14ac:dyDescent="0.25">
      <c r="B89" s="584" t="s">
        <v>537</v>
      </c>
      <c r="C89" s="676"/>
      <c r="D89" s="585"/>
      <c r="E89" s="103" t="s">
        <v>509</v>
      </c>
      <c r="F89" s="226" t="s">
        <v>729</v>
      </c>
      <c r="H89" s="584" t="s">
        <v>508</v>
      </c>
      <c r="I89" s="676"/>
      <c r="J89" s="585"/>
      <c r="K89" s="103" t="s">
        <v>509</v>
      </c>
      <c r="L89" s="226" t="s">
        <v>729</v>
      </c>
      <c r="N89" s="584" t="str">
        <f>+IF($S$7=2,B89,IF($S$7=3,H89,""))</f>
        <v/>
      </c>
      <c r="O89" s="676"/>
      <c r="P89" s="585"/>
      <c r="Q89" s="681" t="str">
        <f>+IF($S$7=2,E89,IF($S$7=3,K89,""))</f>
        <v/>
      </c>
      <c r="R89" s="683"/>
    </row>
    <row r="90" spans="2:18" x14ac:dyDescent="0.25">
      <c r="B90" s="20"/>
      <c r="C90" s="21"/>
      <c r="D90" s="21"/>
      <c r="E90" s="193"/>
      <c r="F90" s="199"/>
      <c r="H90" s="20"/>
      <c r="I90" s="21"/>
      <c r="J90" s="21"/>
      <c r="K90" s="196"/>
      <c r="L90" s="193"/>
      <c r="N90" s="260"/>
      <c r="O90" s="261"/>
      <c r="P90" s="108"/>
      <c r="Q90" s="199"/>
      <c r="R90" s="199"/>
    </row>
    <row r="91" spans="2:18" x14ac:dyDescent="0.25">
      <c r="B91" s="224" t="s">
        <v>52</v>
      </c>
      <c r="C91" s="188"/>
      <c r="D91" s="188"/>
      <c r="E91" s="513" t="s">
        <v>116</v>
      </c>
      <c r="F91" s="231">
        <v>0.7</v>
      </c>
      <c r="H91" s="232" t="s">
        <v>256</v>
      </c>
      <c r="I91" s="188"/>
      <c r="J91" s="188"/>
      <c r="K91" s="197" t="s">
        <v>834</v>
      </c>
      <c r="L91" s="194">
        <v>2.8</v>
      </c>
      <c r="N91" s="187" t="str">
        <f t="shared" ref="N91:N99" si="0">+IF($S$7=2,B91,IF($S$7=3,H91,""))</f>
        <v/>
      </c>
      <c r="O91" s="262"/>
      <c r="P91" s="263"/>
      <c r="Q91" s="231" t="str">
        <f t="shared" ref="Q91:Q99" si="1">+IF($S$7=2,E91,IF($S$7=3,K91,""))</f>
        <v/>
      </c>
      <c r="R91" s="231" t="str">
        <f t="shared" ref="R91:R99" si="2">+IF($S$7=2,F91,IF($S$7=3,L91,""))</f>
        <v/>
      </c>
    </row>
    <row r="92" spans="2:18" x14ac:dyDescent="0.25">
      <c r="B92" s="224" t="s">
        <v>105</v>
      </c>
      <c r="C92" s="188"/>
      <c r="D92" s="188"/>
      <c r="E92" s="194" t="s">
        <v>517</v>
      </c>
      <c r="F92" s="231">
        <v>0.9</v>
      </c>
      <c r="H92" s="232"/>
      <c r="I92" s="188"/>
      <c r="J92" s="188"/>
      <c r="K92" s="197"/>
      <c r="L92" s="194"/>
      <c r="N92" s="187" t="str">
        <f t="shared" si="0"/>
        <v/>
      </c>
      <c r="O92" s="262"/>
      <c r="P92" s="263"/>
      <c r="Q92" s="231" t="str">
        <f t="shared" si="1"/>
        <v/>
      </c>
      <c r="R92" s="231" t="str">
        <f t="shared" si="2"/>
        <v/>
      </c>
    </row>
    <row r="93" spans="2:18" x14ac:dyDescent="0.25">
      <c r="B93" s="224" t="s">
        <v>106</v>
      </c>
      <c r="C93" s="188"/>
      <c r="D93" s="188"/>
      <c r="E93" s="194" t="s">
        <v>53</v>
      </c>
      <c r="F93" s="231">
        <v>0.2</v>
      </c>
      <c r="H93" s="232"/>
      <c r="I93" s="188"/>
      <c r="J93" s="188"/>
      <c r="K93" s="197"/>
      <c r="L93" s="194"/>
      <c r="N93" s="187" t="str">
        <f t="shared" si="0"/>
        <v/>
      </c>
      <c r="O93" s="188"/>
      <c r="P93" s="189"/>
      <c r="Q93" s="231" t="str">
        <f t="shared" si="1"/>
        <v/>
      </c>
      <c r="R93" s="231" t="str">
        <f t="shared" si="2"/>
        <v/>
      </c>
    </row>
    <row r="94" spans="2:18" x14ac:dyDescent="0.25">
      <c r="B94" s="224" t="s">
        <v>107</v>
      </c>
      <c r="C94" s="188"/>
      <c r="D94" s="188"/>
      <c r="E94" s="194" t="s">
        <v>667</v>
      </c>
      <c r="F94" s="231">
        <v>0.4</v>
      </c>
      <c r="H94" s="187"/>
      <c r="I94" s="188"/>
      <c r="J94" s="188"/>
      <c r="K94" s="197"/>
      <c r="L94" s="194"/>
      <c r="N94" s="187" t="str">
        <f t="shared" si="0"/>
        <v/>
      </c>
      <c r="O94" s="188"/>
      <c r="P94" s="189"/>
      <c r="Q94" s="231" t="str">
        <f t="shared" si="1"/>
        <v/>
      </c>
      <c r="R94" s="231" t="str">
        <f t="shared" si="2"/>
        <v/>
      </c>
    </row>
    <row r="95" spans="2:18" x14ac:dyDescent="0.25">
      <c r="B95" s="232" t="s">
        <v>641</v>
      </c>
      <c r="C95" s="188"/>
      <c r="D95" s="188"/>
      <c r="E95" s="194" t="s">
        <v>108</v>
      </c>
      <c r="F95" s="231">
        <v>1.7</v>
      </c>
      <c r="H95" s="187"/>
      <c r="I95" s="188"/>
      <c r="J95" s="188"/>
      <c r="K95" s="197"/>
      <c r="L95" s="194"/>
      <c r="N95" s="187" t="str">
        <f t="shared" si="0"/>
        <v/>
      </c>
      <c r="O95" s="188"/>
      <c r="P95" s="189"/>
      <c r="Q95" s="231" t="str">
        <f t="shared" si="1"/>
        <v/>
      </c>
      <c r="R95" s="231" t="str">
        <f t="shared" si="2"/>
        <v/>
      </c>
    </row>
    <row r="96" spans="2:18" x14ac:dyDescent="0.25">
      <c r="B96" s="224" t="s">
        <v>54</v>
      </c>
      <c r="C96" s="188"/>
      <c r="D96" s="188"/>
      <c r="E96" s="194" t="s">
        <v>55</v>
      </c>
      <c r="F96" s="231">
        <v>1.1000000000000001</v>
      </c>
      <c r="H96" s="187"/>
      <c r="I96" s="188"/>
      <c r="J96" s="188"/>
      <c r="K96" s="197"/>
      <c r="L96" s="194"/>
      <c r="N96" s="187" t="str">
        <f t="shared" si="0"/>
        <v/>
      </c>
      <c r="O96" s="188"/>
      <c r="P96" s="189"/>
      <c r="Q96" s="231" t="str">
        <f t="shared" si="1"/>
        <v/>
      </c>
      <c r="R96" s="231" t="str">
        <f t="shared" si="2"/>
        <v/>
      </c>
    </row>
    <row r="97" spans="2:18" x14ac:dyDescent="0.25">
      <c r="B97" s="224" t="s">
        <v>54</v>
      </c>
      <c r="C97" s="188"/>
      <c r="D97" s="188"/>
      <c r="E97" s="194" t="s">
        <v>56</v>
      </c>
      <c r="F97" s="231">
        <v>0.6</v>
      </c>
      <c r="H97" s="187"/>
      <c r="I97" s="188"/>
      <c r="J97" s="188"/>
      <c r="K97" s="197"/>
      <c r="L97" s="194"/>
      <c r="N97" s="187" t="str">
        <f t="shared" si="0"/>
        <v/>
      </c>
      <c r="O97" s="188"/>
      <c r="P97" s="189"/>
      <c r="Q97" s="231" t="str">
        <f t="shared" si="1"/>
        <v/>
      </c>
      <c r="R97" s="231" t="str">
        <f t="shared" si="2"/>
        <v/>
      </c>
    </row>
    <row r="98" spans="2:18" x14ac:dyDescent="0.25">
      <c r="B98" s="187" t="s">
        <v>109</v>
      </c>
      <c r="C98" s="188"/>
      <c r="D98" s="188"/>
      <c r="E98" s="218" t="s">
        <v>126</v>
      </c>
      <c r="F98" s="231">
        <v>17.2</v>
      </c>
      <c r="H98" s="187"/>
      <c r="I98" s="188"/>
      <c r="J98" s="188"/>
      <c r="K98" s="197"/>
      <c r="L98" s="194"/>
      <c r="N98" s="187" t="str">
        <f t="shared" si="0"/>
        <v/>
      </c>
      <c r="O98" s="188"/>
      <c r="P98" s="189"/>
      <c r="Q98" s="231" t="str">
        <f t="shared" si="1"/>
        <v/>
      </c>
      <c r="R98" s="231" t="str">
        <f t="shared" si="2"/>
        <v/>
      </c>
    </row>
    <row r="99" spans="2:18" x14ac:dyDescent="0.25">
      <c r="B99" s="224" t="s">
        <v>110</v>
      </c>
      <c r="C99" s="188"/>
      <c r="D99" s="188"/>
      <c r="E99" s="218" t="s">
        <v>126</v>
      </c>
      <c r="F99" s="231">
        <v>5.2</v>
      </c>
      <c r="H99" s="224"/>
      <c r="I99" s="188"/>
      <c r="J99" s="188"/>
      <c r="K99" s="197"/>
      <c r="L99" s="194"/>
      <c r="N99" s="187" t="str">
        <f t="shared" si="0"/>
        <v/>
      </c>
      <c r="O99" s="188"/>
      <c r="P99" s="189"/>
      <c r="Q99" s="231" t="str">
        <f t="shared" si="1"/>
        <v/>
      </c>
      <c r="R99" s="231" t="str">
        <f t="shared" si="2"/>
        <v/>
      </c>
    </row>
    <row r="100" spans="2:18" x14ac:dyDescent="0.25">
      <c r="B100" s="224" t="s">
        <v>57</v>
      </c>
      <c r="C100" s="188"/>
      <c r="D100" s="188"/>
      <c r="E100" s="194" t="s">
        <v>58</v>
      </c>
      <c r="F100" s="231">
        <v>1.3</v>
      </c>
      <c r="H100" s="187"/>
      <c r="I100" s="188"/>
      <c r="J100" s="188"/>
      <c r="K100" s="197"/>
      <c r="L100" s="194"/>
      <c r="N100" s="187" t="str">
        <f t="shared" ref="N100:N155" si="3">+IF($S$7=2,B100,IF($S$7=3,H100,""))</f>
        <v/>
      </c>
      <c r="O100" s="188"/>
      <c r="P100" s="189"/>
      <c r="Q100" s="231" t="str">
        <f t="shared" ref="Q100:R155" si="4">+IF($S$7=2,E100,IF($S$7=3,K100,""))</f>
        <v/>
      </c>
      <c r="R100" s="231" t="str">
        <f t="shared" si="4"/>
        <v/>
      </c>
    </row>
    <row r="101" spans="2:18" x14ac:dyDescent="0.25">
      <c r="B101" s="224" t="s">
        <v>59</v>
      </c>
      <c r="C101" s="188"/>
      <c r="D101" s="188"/>
      <c r="E101" s="194" t="s">
        <v>58</v>
      </c>
      <c r="F101" s="231">
        <v>2.8</v>
      </c>
      <c r="H101" s="187"/>
      <c r="I101" s="188"/>
      <c r="J101" s="188"/>
      <c r="K101" s="197"/>
      <c r="L101" s="194"/>
      <c r="N101" s="187" t="str">
        <f t="shared" si="3"/>
        <v/>
      </c>
      <c r="O101" s="188"/>
      <c r="P101" s="189"/>
      <c r="Q101" s="231" t="str">
        <f t="shared" si="4"/>
        <v/>
      </c>
      <c r="R101" s="231" t="str">
        <f t="shared" si="4"/>
        <v/>
      </c>
    </row>
    <row r="102" spans="2:18" x14ac:dyDescent="0.25">
      <c r="B102" s="187" t="s">
        <v>60</v>
      </c>
      <c r="C102" s="188"/>
      <c r="D102" s="188"/>
      <c r="E102" s="194" t="s">
        <v>517</v>
      </c>
      <c r="F102" s="231">
        <v>1.4</v>
      </c>
      <c r="H102" s="187"/>
      <c r="I102" s="188"/>
      <c r="J102" s="188"/>
      <c r="K102" s="197"/>
      <c r="L102" s="194"/>
      <c r="N102" s="187" t="str">
        <f t="shared" si="3"/>
        <v/>
      </c>
      <c r="O102" s="188"/>
      <c r="P102" s="189"/>
      <c r="Q102" s="231" t="str">
        <f t="shared" si="4"/>
        <v/>
      </c>
      <c r="R102" s="231" t="str">
        <f t="shared" si="4"/>
        <v/>
      </c>
    </row>
    <row r="103" spans="2:18" x14ac:dyDescent="0.25">
      <c r="B103" s="224" t="s">
        <v>61</v>
      </c>
      <c r="C103" s="188"/>
      <c r="D103" s="188"/>
      <c r="E103" s="194" t="s">
        <v>517</v>
      </c>
      <c r="F103" s="231">
        <v>2.8</v>
      </c>
      <c r="H103" s="187"/>
      <c r="I103" s="188"/>
      <c r="J103" s="188"/>
      <c r="K103" s="197"/>
      <c r="L103" s="194"/>
      <c r="N103" s="187" t="str">
        <f t="shared" si="3"/>
        <v/>
      </c>
      <c r="O103" s="188"/>
      <c r="P103" s="189"/>
      <c r="Q103" s="231" t="str">
        <f t="shared" si="4"/>
        <v/>
      </c>
      <c r="R103" s="231" t="str">
        <f t="shared" si="4"/>
        <v/>
      </c>
    </row>
    <row r="104" spans="2:18" x14ac:dyDescent="0.25">
      <c r="B104" s="187" t="s">
        <v>62</v>
      </c>
      <c r="C104" s="188"/>
      <c r="D104" s="188"/>
      <c r="E104" s="194" t="s">
        <v>63</v>
      </c>
      <c r="F104" s="231">
        <v>0.9</v>
      </c>
      <c r="H104" s="187"/>
      <c r="I104" s="188"/>
      <c r="J104" s="188"/>
      <c r="K104" s="197"/>
      <c r="L104" s="194"/>
      <c r="N104" s="187" t="str">
        <f t="shared" si="3"/>
        <v/>
      </c>
      <c r="O104" s="188"/>
      <c r="P104" s="189"/>
      <c r="Q104" s="231" t="str">
        <f t="shared" si="4"/>
        <v/>
      </c>
      <c r="R104" s="231" t="str">
        <f t="shared" si="4"/>
        <v/>
      </c>
    </row>
    <row r="105" spans="2:18" x14ac:dyDescent="0.25">
      <c r="B105" s="232" t="s">
        <v>111</v>
      </c>
      <c r="C105" s="188"/>
      <c r="D105" s="188"/>
      <c r="E105" s="194" t="s">
        <v>53</v>
      </c>
      <c r="F105" s="231">
        <v>1.7</v>
      </c>
      <c r="H105" s="187"/>
      <c r="I105" s="188"/>
      <c r="J105" s="188"/>
      <c r="K105" s="197"/>
      <c r="L105" s="194"/>
      <c r="N105" s="187" t="str">
        <f t="shared" si="3"/>
        <v/>
      </c>
      <c r="O105" s="188"/>
      <c r="P105" s="189"/>
      <c r="Q105" s="231" t="str">
        <f t="shared" si="4"/>
        <v/>
      </c>
      <c r="R105" s="231" t="str">
        <f t="shared" si="4"/>
        <v/>
      </c>
    </row>
    <row r="106" spans="2:18" x14ac:dyDescent="0.25">
      <c r="B106" s="224" t="s">
        <v>650</v>
      </c>
      <c r="C106" s="188"/>
      <c r="D106" s="188"/>
      <c r="E106" s="194" t="s">
        <v>517</v>
      </c>
      <c r="F106" s="231">
        <v>2.8</v>
      </c>
      <c r="H106" s="187"/>
      <c r="I106" s="188"/>
      <c r="J106" s="188"/>
      <c r="K106" s="197"/>
      <c r="L106" s="194"/>
      <c r="N106" s="187" t="str">
        <f t="shared" si="3"/>
        <v/>
      </c>
      <c r="O106" s="188"/>
      <c r="P106" s="189"/>
      <c r="Q106" s="231" t="str">
        <f t="shared" si="4"/>
        <v/>
      </c>
      <c r="R106" s="231" t="str">
        <f t="shared" si="4"/>
        <v/>
      </c>
    </row>
    <row r="107" spans="2:18" x14ac:dyDescent="0.25">
      <c r="B107" s="224" t="s">
        <v>101</v>
      </c>
      <c r="C107" s="188"/>
      <c r="D107" s="188"/>
      <c r="E107" s="218" t="s">
        <v>126</v>
      </c>
      <c r="F107" s="231">
        <v>6.9</v>
      </c>
      <c r="H107" s="187"/>
      <c r="I107" s="188"/>
      <c r="J107" s="188"/>
      <c r="K107" s="197"/>
      <c r="L107" s="194"/>
      <c r="N107" s="187" t="str">
        <f t="shared" si="3"/>
        <v/>
      </c>
      <c r="O107" s="188"/>
      <c r="P107" s="189"/>
      <c r="Q107" s="231" t="str">
        <f t="shared" si="4"/>
        <v/>
      </c>
      <c r="R107" s="231" t="str">
        <f t="shared" si="4"/>
        <v/>
      </c>
    </row>
    <row r="108" spans="2:18" x14ac:dyDescent="0.25">
      <c r="B108" s="187" t="s">
        <v>64</v>
      </c>
      <c r="C108" s="188"/>
      <c r="D108" s="188"/>
      <c r="E108" s="194" t="s">
        <v>517</v>
      </c>
      <c r="F108" s="231">
        <v>1.7</v>
      </c>
      <c r="H108" s="187"/>
      <c r="I108" s="188"/>
      <c r="J108" s="188"/>
      <c r="K108" s="197"/>
      <c r="L108" s="194"/>
      <c r="N108" s="187" t="str">
        <f t="shared" si="3"/>
        <v/>
      </c>
      <c r="O108" s="188"/>
      <c r="P108" s="189"/>
      <c r="Q108" s="231" t="str">
        <f t="shared" si="4"/>
        <v/>
      </c>
      <c r="R108" s="231" t="str">
        <f t="shared" si="4"/>
        <v/>
      </c>
    </row>
    <row r="109" spans="2:18" x14ac:dyDescent="0.25">
      <c r="B109" s="187" t="s">
        <v>519</v>
      </c>
      <c r="C109" s="188"/>
      <c r="D109" s="188"/>
      <c r="E109" s="194" t="s">
        <v>63</v>
      </c>
      <c r="F109" s="231">
        <v>0.8</v>
      </c>
      <c r="H109" s="187"/>
      <c r="I109" s="188"/>
      <c r="J109" s="188"/>
      <c r="K109" s="197"/>
      <c r="L109" s="194"/>
      <c r="N109" s="187" t="str">
        <f t="shared" si="3"/>
        <v/>
      </c>
      <c r="O109" s="188"/>
      <c r="P109" s="189"/>
      <c r="Q109" s="231" t="str">
        <f t="shared" si="4"/>
        <v/>
      </c>
      <c r="R109" s="231" t="str">
        <f t="shared" si="4"/>
        <v/>
      </c>
    </row>
    <row r="110" spans="2:18" x14ac:dyDescent="0.25">
      <c r="B110" s="232" t="s">
        <v>112</v>
      </c>
      <c r="C110" s="188"/>
      <c r="D110" s="188"/>
      <c r="E110" s="218" t="s">
        <v>126</v>
      </c>
      <c r="F110" s="231">
        <v>6.9</v>
      </c>
      <c r="H110" s="187"/>
      <c r="I110" s="188"/>
      <c r="J110" s="188"/>
      <c r="K110" s="197"/>
      <c r="L110" s="194"/>
      <c r="N110" s="187" t="str">
        <f t="shared" si="3"/>
        <v/>
      </c>
      <c r="O110" s="188"/>
      <c r="P110" s="189"/>
      <c r="Q110" s="231" t="str">
        <f t="shared" si="4"/>
        <v/>
      </c>
      <c r="R110" s="231" t="str">
        <f t="shared" si="4"/>
        <v/>
      </c>
    </row>
    <row r="111" spans="2:18" x14ac:dyDescent="0.25">
      <c r="B111" s="224" t="s">
        <v>763</v>
      </c>
      <c r="C111" s="188"/>
      <c r="D111" s="188"/>
      <c r="E111" s="218" t="s">
        <v>126</v>
      </c>
      <c r="F111" s="231">
        <v>17.2</v>
      </c>
      <c r="H111" s="187"/>
      <c r="I111" s="188"/>
      <c r="J111" s="188"/>
      <c r="K111" s="197"/>
      <c r="L111" s="194"/>
      <c r="N111" s="187" t="str">
        <f t="shared" si="3"/>
        <v/>
      </c>
      <c r="O111" s="188"/>
      <c r="P111" s="189"/>
      <c r="Q111" s="231" t="str">
        <f t="shared" si="4"/>
        <v/>
      </c>
      <c r="R111" s="231" t="str">
        <f t="shared" si="4"/>
        <v/>
      </c>
    </row>
    <row r="112" spans="2:18" x14ac:dyDescent="0.25">
      <c r="B112" s="224" t="s">
        <v>102</v>
      </c>
      <c r="C112" s="188"/>
      <c r="D112" s="188"/>
      <c r="E112" s="194" t="s">
        <v>108</v>
      </c>
      <c r="F112" s="194">
        <v>1.7</v>
      </c>
      <c r="H112" s="187"/>
      <c r="I112" s="188"/>
      <c r="J112" s="188"/>
      <c r="K112" s="197"/>
      <c r="L112" s="194"/>
      <c r="N112" s="187" t="str">
        <f t="shared" si="3"/>
        <v/>
      </c>
      <c r="O112" s="188"/>
      <c r="P112" s="189"/>
      <c r="Q112" s="231" t="str">
        <f t="shared" si="4"/>
        <v/>
      </c>
      <c r="R112" s="231" t="str">
        <f t="shared" si="4"/>
        <v/>
      </c>
    </row>
    <row r="113" spans="2:18" x14ac:dyDescent="0.25">
      <c r="B113" s="187" t="s">
        <v>65</v>
      </c>
      <c r="C113" s="188"/>
      <c r="D113" s="188"/>
      <c r="E113" s="218" t="s">
        <v>126</v>
      </c>
      <c r="F113" s="231">
        <v>4.3</v>
      </c>
      <c r="H113" s="187"/>
      <c r="I113" s="188"/>
      <c r="J113" s="188"/>
      <c r="K113" s="197"/>
      <c r="L113" s="194"/>
      <c r="N113" s="187" t="str">
        <f t="shared" si="3"/>
        <v/>
      </c>
      <c r="O113" s="188"/>
      <c r="P113" s="189"/>
      <c r="Q113" s="231" t="str">
        <f t="shared" si="4"/>
        <v/>
      </c>
      <c r="R113" s="231" t="str">
        <f t="shared" si="4"/>
        <v/>
      </c>
    </row>
    <row r="114" spans="2:18" x14ac:dyDescent="0.25">
      <c r="B114" s="187" t="s">
        <v>518</v>
      </c>
      <c r="C114" s="188"/>
      <c r="D114" s="188"/>
      <c r="E114" s="218" t="s">
        <v>126</v>
      </c>
      <c r="F114" s="231">
        <v>2.2000000000000002</v>
      </c>
      <c r="H114" s="187"/>
      <c r="I114" s="188"/>
      <c r="J114" s="188"/>
      <c r="K114" s="197"/>
      <c r="L114" s="194"/>
      <c r="N114" s="187" t="str">
        <f t="shared" si="3"/>
        <v/>
      </c>
      <c r="O114" s="188"/>
      <c r="P114" s="189"/>
      <c r="Q114" s="231" t="str">
        <f t="shared" si="4"/>
        <v/>
      </c>
      <c r="R114" s="231" t="str">
        <f t="shared" si="4"/>
        <v/>
      </c>
    </row>
    <row r="115" spans="2:18" x14ac:dyDescent="0.25">
      <c r="B115" s="232" t="s">
        <v>113</v>
      </c>
      <c r="C115" s="188"/>
      <c r="D115" s="188"/>
      <c r="E115" s="218" t="s">
        <v>126</v>
      </c>
      <c r="F115" s="231">
        <v>17.2</v>
      </c>
      <c r="H115" s="224"/>
      <c r="I115" s="188"/>
      <c r="J115" s="188"/>
      <c r="K115" s="197"/>
      <c r="L115" s="194"/>
      <c r="N115" s="187" t="str">
        <f t="shared" si="3"/>
        <v/>
      </c>
      <c r="O115" s="188"/>
      <c r="P115" s="189"/>
      <c r="Q115" s="231" t="str">
        <f t="shared" si="4"/>
        <v/>
      </c>
      <c r="R115" s="231" t="str">
        <f t="shared" si="4"/>
        <v/>
      </c>
    </row>
    <row r="116" spans="2:18" x14ac:dyDescent="0.25">
      <c r="B116" s="224" t="s">
        <v>103</v>
      </c>
      <c r="C116" s="188"/>
      <c r="D116" s="188"/>
      <c r="E116" s="194" t="s">
        <v>517</v>
      </c>
      <c r="F116" s="231">
        <v>6.9</v>
      </c>
      <c r="H116" s="187"/>
      <c r="I116" s="188"/>
      <c r="J116" s="188"/>
      <c r="K116" s="197"/>
      <c r="L116" s="192"/>
      <c r="N116" s="187" t="str">
        <f t="shared" si="3"/>
        <v/>
      </c>
      <c r="O116" s="188"/>
      <c r="P116" s="189"/>
      <c r="Q116" s="231" t="str">
        <f t="shared" si="4"/>
        <v/>
      </c>
      <c r="R116" s="231" t="str">
        <f t="shared" si="4"/>
        <v/>
      </c>
    </row>
    <row r="117" spans="2:18" x14ac:dyDescent="0.25">
      <c r="B117" s="187" t="s">
        <v>66</v>
      </c>
      <c r="C117" s="188"/>
      <c r="D117" s="188"/>
      <c r="E117" s="194" t="s">
        <v>53</v>
      </c>
      <c r="F117" s="231">
        <v>0.9</v>
      </c>
      <c r="H117" s="187" t="s">
        <v>527</v>
      </c>
      <c r="I117" s="188"/>
      <c r="J117" s="188"/>
      <c r="K117" s="197" t="s">
        <v>527</v>
      </c>
      <c r="L117" s="192" t="s">
        <v>527</v>
      </c>
      <c r="N117" s="187" t="str">
        <f t="shared" si="3"/>
        <v/>
      </c>
      <c r="O117" s="188"/>
      <c r="P117" s="189"/>
      <c r="Q117" s="231" t="str">
        <f t="shared" si="4"/>
        <v/>
      </c>
      <c r="R117" s="231" t="str">
        <f t="shared" si="4"/>
        <v/>
      </c>
    </row>
    <row r="118" spans="2:18" x14ac:dyDescent="0.25">
      <c r="B118" s="187" t="s">
        <v>67</v>
      </c>
      <c r="C118" s="188"/>
      <c r="D118" s="188"/>
      <c r="E118" s="218" t="s">
        <v>126</v>
      </c>
      <c r="F118" s="231">
        <v>17.2</v>
      </c>
      <c r="H118" s="187" t="s">
        <v>527</v>
      </c>
      <c r="I118" s="188"/>
      <c r="J118" s="188"/>
      <c r="K118" s="187" t="s">
        <v>527</v>
      </c>
      <c r="L118" s="192" t="s">
        <v>527</v>
      </c>
      <c r="N118" s="187" t="str">
        <f t="shared" si="3"/>
        <v/>
      </c>
      <c r="O118" s="188"/>
      <c r="P118" s="189"/>
      <c r="Q118" s="231" t="str">
        <f t="shared" si="4"/>
        <v/>
      </c>
      <c r="R118" s="231" t="str">
        <f t="shared" si="4"/>
        <v/>
      </c>
    </row>
    <row r="119" spans="2:18" x14ac:dyDescent="0.25">
      <c r="B119" s="187" t="s">
        <v>68</v>
      </c>
      <c r="C119" s="188"/>
      <c r="D119" s="188"/>
      <c r="E119" s="194" t="s">
        <v>69</v>
      </c>
      <c r="F119" s="231">
        <v>12.9</v>
      </c>
      <c r="H119" s="187" t="s">
        <v>527</v>
      </c>
      <c r="I119" s="188"/>
      <c r="J119" s="188"/>
      <c r="K119" s="187" t="s">
        <v>527</v>
      </c>
      <c r="L119" s="192" t="s">
        <v>527</v>
      </c>
      <c r="N119" s="187" t="str">
        <f t="shared" si="3"/>
        <v/>
      </c>
      <c r="O119" s="188"/>
      <c r="P119" s="189"/>
      <c r="Q119" s="231" t="str">
        <f t="shared" si="4"/>
        <v/>
      </c>
      <c r="R119" s="231" t="str">
        <f t="shared" si="4"/>
        <v/>
      </c>
    </row>
    <row r="120" spans="2:18" x14ac:dyDescent="0.25">
      <c r="B120" s="224" t="s">
        <v>70</v>
      </c>
      <c r="C120" s="188"/>
      <c r="D120" s="188"/>
      <c r="E120" s="194" t="s">
        <v>71</v>
      </c>
      <c r="F120" s="231">
        <v>0.6</v>
      </c>
      <c r="H120" s="187" t="s">
        <v>527</v>
      </c>
      <c r="I120" s="188"/>
      <c r="J120" s="188"/>
      <c r="K120" s="187" t="s">
        <v>527</v>
      </c>
      <c r="L120" s="192" t="s">
        <v>527</v>
      </c>
      <c r="N120" s="187" t="str">
        <f t="shared" si="3"/>
        <v/>
      </c>
      <c r="O120" s="188"/>
      <c r="P120" s="189"/>
      <c r="Q120" s="231" t="str">
        <f t="shared" si="4"/>
        <v/>
      </c>
      <c r="R120" s="231" t="str">
        <f t="shared" si="4"/>
        <v/>
      </c>
    </row>
    <row r="121" spans="2:18" x14ac:dyDescent="0.25">
      <c r="B121" s="224" t="s">
        <v>72</v>
      </c>
      <c r="C121" s="188"/>
      <c r="D121" s="188"/>
      <c r="E121" s="218" t="s">
        <v>127</v>
      </c>
      <c r="F121" s="231">
        <v>28</v>
      </c>
      <c r="H121" s="187" t="s">
        <v>527</v>
      </c>
      <c r="I121" s="188"/>
      <c r="J121" s="188"/>
      <c r="K121" s="187" t="s">
        <v>527</v>
      </c>
      <c r="L121" s="192" t="s">
        <v>527</v>
      </c>
      <c r="N121" s="187" t="str">
        <f t="shared" si="3"/>
        <v/>
      </c>
      <c r="O121" s="188"/>
      <c r="P121" s="189"/>
      <c r="Q121" s="231" t="str">
        <f t="shared" si="4"/>
        <v/>
      </c>
      <c r="R121" s="231" t="str">
        <f t="shared" si="4"/>
        <v/>
      </c>
    </row>
    <row r="122" spans="2:18" x14ac:dyDescent="0.25">
      <c r="B122" s="224" t="s">
        <v>73</v>
      </c>
      <c r="C122" s="188"/>
      <c r="D122" s="188"/>
      <c r="E122" s="218" t="s">
        <v>126</v>
      </c>
      <c r="F122" s="231">
        <v>17.2</v>
      </c>
      <c r="H122" s="187" t="s">
        <v>527</v>
      </c>
      <c r="I122" s="188"/>
      <c r="J122" s="188"/>
      <c r="K122" s="187" t="s">
        <v>527</v>
      </c>
      <c r="L122" s="192" t="s">
        <v>527</v>
      </c>
      <c r="N122" s="187" t="str">
        <f t="shared" si="3"/>
        <v/>
      </c>
      <c r="O122" s="188"/>
      <c r="P122" s="189"/>
      <c r="Q122" s="231" t="str">
        <f t="shared" si="4"/>
        <v/>
      </c>
      <c r="R122" s="231" t="str">
        <f t="shared" si="4"/>
        <v/>
      </c>
    </row>
    <row r="123" spans="2:18" x14ac:dyDescent="0.25">
      <c r="B123" s="187" t="s">
        <v>104</v>
      </c>
      <c r="C123" s="188"/>
      <c r="D123" s="188"/>
      <c r="E123" s="218" t="s">
        <v>126</v>
      </c>
      <c r="F123" s="231">
        <v>2.2000000000000002</v>
      </c>
      <c r="H123" s="187" t="s">
        <v>527</v>
      </c>
      <c r="I123" s="188"/>
      <c r="J123" s="188"/>
      <c r="K123" s="187" t="s">
        <v>527</v>
      </c>
      <c r="L123" s="192" t="s">
        <v>527</v>
      </c>
      <c r="N123" s="187" t="str">
        <f t="shared" si="3"/>
        <v/>
      </c>
      <c r="O123" s="188"/>
      <c r="P123" s="189"/>
      <c r="Q123" s="231" t="str">
        <f t="shared" si="4"/>
        <v/>
      </c>
      <c r="R123" s="231" t="str">
        <f t="shared" si="4"/>
        <v/>
      </c>
    </row>
    <row r="124" spans="2:18" x14ac:dyDescent="0.25">
      <c r="B124" s="187" t="s">
        <v>74</v>
      </c>
      <c r="C124" s="188"/>
      <c r="D124" s="188"/>
      <c r="E124" s="218" t="s">
        <v>126</v>
      </c>
      <c r="F124" s="231">
        <v>4.3</v>
      </c>
      <c r="H124" s="187" t="s">
        <v>527</v>
      </c>
      <c r="I124" s="188"/>
      <c r="J124" s="188"/>
      <c r="K124" s="187" t="s">
        <v>527</v>
      </c>
      <c r="L124" s="192" t="s">
        <v>527</v>
      </c>
      <c r="N124" s="187" t="str">
        <f t="shared" si="3"/>
        <v/>
      </c>
      <c r="O124" s="188"/>
      <c r="P124" s="189"/>
      <c r="Q124" s="231" t="str">
        <f t="shared" si="4"/>
        <v/>
      </c>
      <c r="R124" s="231" t="str">
        <f t="shared" si="4"/>
        <v/>
      </c>
    </row>
    <row r="125" spans="2:18" x14ac:dyDescent="0.25">
      <c r="B125" s="187" t="s">
        <v>762</v>
      </c>
      <c r="C125" s="188"/>
      <c r="D125" s="188"/>
      <c r="E125" s="218" t="s">
        <v>126</v>
      </c>
      <c r="F125" s="231">
        <v>8.6</v>
      </c>
      <c r="H125" s="187" t="s">
        <v>527</v>
      </c>
      <c r="I125" s="188"/>
      <c r="J125" s="188"/>
      <c r="K125" s="187" t="s">
        <v>527</v>
      </c>
      <c r="L125" s="192" t="s">
        <v>527</v>
      </c>
      <c r="N125" s="187" t="str">
        <f t="shared" si="3"/>
        <v/>
      </c>
      <c r="O125" s="188"/>
      <c r="P125" s="189"/>
      <c r="Q125" s="231" t="str">
        <f t="shared" si="4"/>
        <v/>
      </c>
      <c r="R125" s="231" t="str">
        <f t="shared" si="4"/>
        <v/>
      </c>
    </row>
    <row r="126" spans="2:18" x14ac:dyDescent="0.25">
      <c r="B126" s="187" t="s">
        <v>75</v>
      </c>
      <c r="C126" s="188"/>
      <c r="D126" s="188"/>
      <c r="E126" s="194" t="s">
        <v>76</v>
      </c>
      <c r="F126" s="231">
        <v>5.6</v>
      </c>
      <c r="H126" s="187" t="s">
        <v>527</v>
      </c>
      <c r="I126" s="188"/>
      <c r="J126" s="188"/>
      <c r="K126" s="187" t="s">
        <v>527</v>
      </c>
      <c r="L126" s="192" t="s">
        <v>527</v>
      </c>
      <c r="N126" s="187" t="str">
        <f t="shared" si="3"/>
        <v/>
      </c>
      <c r="O126" s="188"/>
      <c r="P126" s="189"/>
      <c r="Q126" s="231" t="str">
        <f t="shared" si="4"/>
        <v/>
      </c>
      <c r="R126" s="231" t="str">
        <f t="shared" si="4"/>
        <v/>
      </c>
    </row>
    <row r="127" spans="2:18" x14ac:dyDescent="0.25">
      <c r="B127" s="187" t="s">
        <v>515</v>
      </c>
      <c r="C127" s="188"/>
      <c r="D127" s="188"/>
      <c r="E127" s="218" t="s">
        <v>126</v>
      </c>
      <c r="F127" s="231">
        <v>17.2</v>
      </c>
      <c r="H127" s="187" t="s">
        <v>527</v>
      </c>
      <c r="I127" s="188"/>
      <c r="J127" s="188"/>
      <c r="K127" s="187" t="s">
        <v>527</v>
      </c>
      <c r="L127" s="192" t="s">
        <v>527</v>
      </c>
      <c r="N127" s="187" t="str">
        <f t="shared" si="3"/>
        <v/>
      </c>
      <c r="O127" s="188"/>
      <c r="P127" s="189"/>
      <c r="Q127" s="231" t="str">
        <f t="shared" si="4"/>
        <v/>
      </c>
      <c r="R127" s="231" t="str">
        <f t="shared" si="4"/>
        <v/>
      </c>
    </row>
    <row r="128" spans="2:18" x14ac:dyDescent="0.25">
      <c r="B128" s="187" t="s">
        <v>516</v>
      </c>
      <c r="C128" s="188"/>
      <c r="D128" s="188"/>
      <c r="E128" s="194" t="s">
        <v>55</v>
      </c>
      <c r="F128" s="231">
        <v>1.1000000000000001</v>
      </c>
      <c r="H128" s="187" t="s">
        <v>527</v>
      </c>
      <c r="I128" s="188"/>
      <c r="J128" s="188"/>
      <c r="K128" s="187" t="s">
        <v>527</v>
      </c>
      <c r="L128" s="192" t="s">
        <v>527</v>
      </c>
      <c r="N128" s="187" t="str">
        <f t="shared" si="3"/>
        <v/>
      </c>
      <c r="O128" s="188"/>
      <c r="P128" s="189"/>
      <c r="Q128" s="231" t="str">
        <f t="shared" si="4"/>
        <v/>
      </c>
      <c r="R128" s="231" t="str">
        <f t="shared" si="4"/>
        <v/>
      </c>
    </row>
    <row r="129" spans="2:18" x14ac:dyDescent="0.25">
      <c r="B129" s="187" t="s">
        <v>77</v>
      </c>
      <c r="C129" s="188"/>
      <c r="D129" s="188"/>
      <c r="E129" s="194" t="s">
        <v>517</v>
      </c>
      <c r="F129" s="231">
        <v>1.4</v>
      </c>
      <c r="H129" s="187" t="s">
        <v>527</v>
      </c>
      <c r="I129" s="188"/>
      <c r="J129" s="188"/>
      <c r="K129" s="187" t="s">
        <v>527</v>
      </c>
      <c r="L129" s="192" t="s">
        <v>527</v>
      </c>
      <c r="N129" s="187" t="str">
        <f t="shared" si="3"/>
        <v/>
      </c>
      <c r="O129" s="188"/>
      <c r="P129" s="189"/>
      <c r="Q129" s="231" t="str">
        <f t="shared" si="4"/>
        <v/>
      </c>
      <c r="R129" s="231" t="str">
        <f t="shared" si="4"/>
        <v/>
      </c>
    </row>
    <row r="130" spans="2:18" x14ac:dyDescent="0.25">
      <c r="B130" s="224" t="s">
        <v>78</v>
      </c>
      <c r="C130" s="188"/>
      <c r="D130" s="188"/>
      <c r="E130" s="194" t="s">
        <v>517</v>
      </c>
      <c r="F130" s="231">
        <v>1.8</v>
      </c>
      <c r="H130" s="187" t="s">
        <v>527</v>
      </c>
      <c r="I130" s="188"/>
      <c r="J130" s="188"/>
      <c r="K130" s="187" t="s">
        <v>527</v>
      </c>
      <c r="L130" s="192" t="s">
        <v>527</v>
      </c>
      <c r="N130" s="187" t="str">
        <f t="shared" si="3"/>
        <v/>
      </c>
      <c r="O130" s="188"/>
      <c r="P130" s="189"/>
      <c r="Q130" s="231" t="str">
        <f t="shared" si="4"/>
        <v/>
      </c>
      <c r="R130" s="231" t="str">
        <f t="shared" si="4"/>
        <v/>
      </c>
    </row>
    <row r="131" spans="2:18" x14ac:dyDescent="0.25">
      <c r="B131" s="187" t="s">
        <v>79</v>
      </c>
      <c r="C131" s="188"/>
      <c r="D131" s="188"/>
      <c r="E131" s="194" t="s">
        <v>127</v>
      </c>
      <c r="F131" s="194">
        <v>3.6</v>
      </c>
      <c r="H131" s="187" t="s">
        <v>527</v>
      </c>
      <c r="I131" s="188"/>
      <c r="J131" s="188"/>
      <c r="K131" s="187" t="s">
        <v>527</v>
      </c>
      <c r="L131" s="192" t="s">
        <v>527</v>
      </c>
      <c r="N131" s="187" t="str">
        <f t="shared" si="3"/>
        <v/>
      </c>
      <c r="O131" s="188"/>
      <c r="P131" s="189"/>
      <c r="Q131" s="231" t="str">
        <f t="shared" si="4"/>
        <v/>
      </c>
      <c r="R131" s="231" t="str">
        <f t="shared" si="4"/>
        <v/>
      </c>
    </row>
    <row r="132" spans="2:18" x14ac:dyDescent="0.25">
      <c r="B132" s="187" t="s">
        <v>81</v>
      </c>
      <c r="C132" s="188"/>
      <c r="D132" s="188"/>
      <c r="E132" s="194" t="s">
        <v>69</v>
      </c>
      <c r="F132" s="231">
        <v>14</v>
      </c>
      <c r="H132" s="187" t="s">
        <v>527</v>
      </c>
      <c r="I132" s="188"/>
      <c r="J132" s="188"/>
      <c r="K132" s="187" t="s">
        <v>527</v>
      </c>
      <c r="L132" s="192" t="s">
        <v>527</v>
      </c>
      <c r="N132" s="187" t="str">
        <f t="shared" si="3"/>
        <v/>
      </c>
      <c r="O132" s="188"/>
      <c r="P132" s="189"/>
      <c r="Q132" s="231" t="str">
        <f t="shared" si="4"/>
        <v/>
      </c>
      <c r="R132" s="231" t="str">
        <f t="shared" si="4"/>
        <v/>
      </c>
    </row>
    <row r="133" spans="2:18" x14ac:dyDescent="0.25">
      <c r="B133" s="224" t="s">
        <v>82</v>
      </c>
      <c r="C133" s="188"/>
      <c r="D133" s="188"/>
      <c r="E133" s="194" t="s">
        <v>83</v>
      </c>
      <c r="F133" s="231">
        <v>12.9</v>
      </c>
      <c r="H133" s="187" t="s">
        <v>527</v>
      </c>
      <c r="I133" s="188"/>
      <c r="J133" s="188"/>
      <c r="K133" s="187" t="s">
        <v>527</v>
      </c>
      <c r="L133" s="192" t="s">
        <v>527</v>
      </c>
      <c r="N133" s="187" t="str">
        <f t="shared" si="3"/>
        <v/>
      </c>
      <c r="O133" s="188"/>
      <c r="P133" s="189"/>
      <c r="Q133" s="231" t="str">
        <f t="shared" si="4"/>
        <v/>
      </c>
      <c r="R133" s="231" t="str">
        <f t="shared" si="4"/>
        <v/>
      </c>
    </row>
    <row r="134" spans="2:18" x14ac:dyDescent="0.25">
      <c r="B134" s="224" t="s">
        <v>84</v>
      </c>
      <c r="C134" s="188"/>
      <c r="D134" s="188"/>
      <c r="E134" s="218" t="s">
        <v>126</v>
      </c>
      <c r="F134" s="231">
        <v>3.2</v>
      </c>
      <c r="H134" s="187" t="s">
        <v>527</v>
      </c>
      <c r="I134" s="188"/>
      <c r="J134" s="188"/>
      <c r="K134" s="187" t="s">
        <v>527</v>
      </c>
      <c r="L134" s="192" t="s">
        <v>527</v>
      </c>
      <c r="N134" s="187" t="str">
        <f t="shared" si="3"/>
        <v/>
      </c>
      <c r="O134" s="188"/>
      <c r="P134" s="189"/>
      <c r="Q134" s="231" t="str">
        <f t="shared" si="4"/>
        <v/>
      </c>
      <c r="R134" s="231" t="str">
        <f t="shared" si="4"/>
        <v/>
      </c>
    </row>
    <row r="135" spans="2:18" x14ac:dyDescent="0.25">
      <c r="B135" s="224" t="s">
        <v>85</v>
      </c>
      <c r="C135" s="188"/>
      <c r="D135" s="188"/>
      <c r="E135" s="194" t="s">
        <v>86</v>
      </c>
      <c r="F135" s="231">
        <v>3.2</v>
      </c>
      <c r="H135" s="187" t="s">
        <v>527</v>
      </c>
      <c r="I135" s="188"/>
      <c r="J135" s="188"/>
      <c r="K135" s="187" t="s">
        <v>527</v>
      </c>
      <c r="L135" s="192" t="s">
        <v>527</v>
      </c>
      <c r="N135" s="187" t="str">
        <f t="shared" si="3"/>
        <v/>
      </c>
      <c r="O135" s="188"/>
      <c r="P135" s="189"/>
      <c r="Q135" s="231" t="str">
        <f t="shared" si="4"/>
        <v/>
      </c>
      <c r="R135" s="231" t="str">
        <f t="shared" si="4"/>
        <v/>
      </c>
    </row>
    <row r="136" spans="2:18" x14ac:dyDescent="0.25">
      <c r="B136" s="224" t="s">
        <v>87</v>
      </c>
      <c r="C136" s="188"/>
      <c r="D136" s="188"/>
      <c r="E136" s="218" t="s">
        <v>126</v>
      </c>
      <c r="F136" s="231">
        <v>17.2</v>
      </c>
      <c r="H136" s="187" t="s">
        <v>527</v>
      </c>
      <c r="I136" s="188"/>
      <c r="J136" s="188"/>
      <c r="K136" s="187" t="s">
        <v>527</v>
      </c>
      <c r="L136" s="192" t="s">
        <v>527</v>
      </c>
      <c r="N136" s="187" t="str">
        <f t="shared" si="3"/>
        <v/>
      </c>
      <c r="O136" s="188"/>
      <c r="P136" s="189"/>
      <c r="Q136" s="231" t="str">
        <f t="shared" si="4"/>
        <v/>
      </c>
      <c r="R136" s="231" t="str">
        <f t="shared" si="4"/>
        <v/>
      </c>
    </row>
    <row r="137" spans="2:18" x14ac:dyDescent="0.25">
      <c r="B137" s="224" t="s">
        <v>705</v>
      </c>
      <c r="C137" s="188"/>
      <c r="D137" s="188"/>
      <c r="E137" s="218" t="s">
        <v>126</v>
      </c>
      <c r="F137" s="231">
        <v>1.6</v>
      </c>
      <c r="H137" s="187" t="s">
        <v>527</v>
      </c>
      <c r="I137" s="188"/>
      <c r="J137" s="188"/>
      <c r="K137" s="187" t="s">
        <v>527</v>
      </c>
      <c r="L137" s="192" t="s">
        <v>527</v>
      </c>
      <c r="N137" s="187" t="str">
        <f t="shared" si="3"/>
        <v/>
      </c>
      <c r="O137" s="188"/>
      <c r="P137" s="189"/>
      <c r="Q137" s="231" t="str">
        <f t="shared" si="4"/>
        <v/>
      </c>
      <c r="R137" s="231" t="str">
        <f t="shared" si="4"/>
        <v/>
      </c>
    </row>
    <row r="138" spans="2:18" x14ac:dyDescent="0.25">
      <c r="B138" s="187" t="s">
        <v>114</v>
      </c>
      <c r="C138" s="188"/>
      <c r="D138" s="188"/>
      <c r="E138" s="218" t="s">
        <v>126</v>
      </c>
      <c r="F138" s="231">
        <v>17.2</v>
      </c>
      <c r="H138" s="187" t="s">
        <v>527</v>
      </c>
      <c r="I138" s="188"/>
      <c r="J138" s="188"/>
      <c r="K138" s="187" t="s">
        <v>527</v>
      </c>
      <c r="L138" s="192" t="s">
        <v>527</v>
      </c>
      <c r="N138" s="187" t="str">
        <f t="shared" si="3"/>
        <v/>
      </c>
      <c r="O138" s="188"/>
      <c r="P138" s="189"/>
      <c r="Q138" s="231" t="str">
        <f t="shared" si="4"/>
        <v/>
      </c>
      <c r="R138" s="231" t="str">
        <f t="shared" si="4"/>
        <v/>
      </c>
    </row>
    <row r="139" spans="2:18" x14ac:dyDescent="0.25">
      <c r="B139" s="187" t="s">
        <v>514</v>
      </c>
      <c r="C139" s="188"/>
      <c r="D139" s="188"/>
      <c r="E139" s="218" t="s">
        <v>127</v>
      </c>
      <c r="F139" s="231">
        <v>18.7</v>
      </c>
      <c r="H139" s="187" t="s">
        <v>527</v>
      </c>
      <c r="I139" s="188"/>
      <c r="J139" s="188"/>
      <c r="K139" s="187" t="s">
        <v>527</v>
      </c>
      <c r="L139" s="192" t="s">
        <v>527</v>
      </c>
      <c r="N139" s="187" t="str">
        <f t="shared" si="3"/>
        <v/>
      </c>
      <c r="O139" s="188"/>
      <c r="P139" s="189"/>
      <c r="Q139" s="231" t="str">
        <f t="shared" si="4"/>
        <v/>
      </c>
      <c r="R139" s="231" t="str">
        <f t="shared" si="4"/>
        <v/>
      </c>
    </row>
    <row r="140" spans="2:18" x14ac:dyDescent="0.25">
      <c r="B140" s="187" t="s">
        <v>115</v>
      </c>
      <c r="C140" s="188"/>
      <c r="D140" s="188"/>
      <c r="E140" s="194" t="s">
        <v>116</v>
      </c>
      <c r="F140" s="231">
        <v>0.7</v>
      </c>
      <c r="H140" s="187" t="s">
        <v>527</v>
      </c>
      <c r="I140" s="188"/>
      <c r="J140" s="188"/>
      <c r="K140" s="187" t="s">
        <v>527</v>
      </c>
      <c r="L140" s="192" t="s">
        <v>527</v>
      </c>
      <c r="N140" s="187" t="str">
        <f t="shared" si="3"/>
        <v/>
      </c>
      <c r="O140" s="188"/>
      <c r="P140" s="189"/>
      <c r="Q140" s="231" t="str">
        <f t="shared" si="4"/>
        <v/>
      </c>
      <c r="R140" s="231" t="str">
        <f t="shared" si="4"/>
        <v/>
      </c>
    </row>
    <row r="141" spans="2:18" x14ac:dyDescent="0.25">
      <c r="B141" s="232" t="s">
        <v>117</v>
      </c>
      <c r="C141" s="188"/>
      <c r="D141" s="188"/>
      <c r="E141" s="194" t="s">
        <v>116</v>
      </c>
      <c r="F141" s="231">
        <v>0.7</v>
      </c>
      <c r="H141" s="187" t="s">
        <v>527</v>
      </c>
      <c r="I141" s="188"/>
      <c r="J141" s="188"/>
      <c r="K141" s="187" t="s">
        <v>527</v>
      </c>
      <c r="L141" s="192" t="s">
        <v>527</v>
      </c>
      <c r="N141" s="187" t="str">
        <f t="shared" si="3"/>
        <v/>
      </c>
      <c r="O141" s="188"/>
      <c r="P141" s="189"/>
      <c r="Q141" s="231" t="str">
        <f t="shared" si="4"/>
        <v/>
      </c>
      <c r="R141" s="231" t="str">
        <f t="shared" si="4"/>
        <v/>
      </c>
    </row>
    <row r="142" spans="2:18" x14ac:dyDescent="0.25">
      <c r="B142" s="187" t="s">
        <v>118</v>
      </c>
      <c r="C142" s="188"/>
      <c r="D142" s="188"/>
      <c r="E142" s="218" t="s">
        <v>679</v>
      </c>
      <c r="F142" s="231">
        <v>2.8</v>
      </c>
      <c r="H142" s="187" t="s">
        <v>527</v>
      </c>
      <c r="I142" s="188"/>
      <c r="J142" s="188"/>
      <c r="K142" s="187" t="s">
        <v>527</v>
      </c>
      <c r="L142" s="192" t="s">
        <v>527</v>
      </c>
      <c r="N142" s="187" t="str">
        <f t="shared" si="3"/>
        <v/>
      </c>
      <c r="O142" s="188"/>
      <c r="P142" s="189"/>
      <c r="Q142" s="231" t="str">
        <f t="shared" si="4"/>
        <v/>
      </c>
      <c r="R142" s="231" t="str">
        <f t="shared" si="4"/>
        <v/>
      </c>
    </row>
    <row r="143" spans="2:18" x14ac:dyDescent="0.25">
      <c r="B143" s="187" t="s">
        <v>88</v>
      </c>
      <c r="C143" s="188"/>
      <c r="D143" s="188"/>
      <c r="E143" s="218" t="s">
        <v>126</v>
      </c>
      <c r="F143" s="231">
        <v>1.7</v>
      </c>
      <c r="H143" s="187" t="s">
        <v>527</v>
      </c>
      <c r="I143" s="188"/>
      <c r="J143" s="188"/>
      <c r="K143" s="187" t="s">
        <v>527</v>
      </c>
      <c r="L143" s="192" t="s">
        <v>527</v>
      </c>
      <c r="N143" s="187" t="str">
        <f t="shared" si="3"/>
        <v/>
      </c>
      <c r="O143" s="188"/>
      <c r="P143" s="189"/>
      <c r="Q143" s="231" t="str">
        <f t="shared" si="4"/>
        <v/>
      </c>
      <c r="R143" s="231" t="str">
        <f t="shared" si="4"/>
        <v/>
      </c>
    </row>
    <row r="144" spans="2:18" x14ac:dyDescent="0.25">
      <c r="B144" s="224" t="s">
        <v>89</v>
      </c>
      <c r="C144" s="188"/>
      <c r="D144" s="188"/>
      <c r="E144" s="218" t="s">
        <v>126</v>
      </c>
      <c r="F144" s="231">
        <v>6.9</v>
      </c>
      <c r="H144" s="187" t="s">
        <v>527</v>
      </c>
      <c r="I144" s="188"/>
      <c r="J144" s="188"/>
      <c r="K144" s="187" t="s">
        <v>527</v>
      </c>
      <c r="L144" s="192" t="s">
        <v>527</v>
      </c>
      <c r="N144" s="187" t="str">
        <f t="shared" si="3"/>
        <v/>
      </c>
      <c r="O144" s="188"/>
      <c r="P144" s="189"/>
      <c r="Q144" s="231" t="str">
        <f t="shared" si="4"/>
        <v/>
      </c>
      <c r="R144" s="231" t="str">
        <f t="shared" si="4"/>
        <v/>
      </c>
    </row>
    <row r="145" spans="2:18" x14ac:dyDescent="0.25">
      <c r="B145" s="224" t="s">
        <v>119</v>
      </c>
      <c r="C145" s="188"/>
      <c r="D145" s="188"/>
      <c r="E145" s="218" t="s">
        <v>127</v>
      </c>
      <c r="F145" s="231">
        <v>3.6</v>
      </c>
      <c r="H145" s="187" t="s">
        <v>527</v>
      </c>
      <c r="I145" s="188"/>
      <c r="J145" s="188"/>
      <c r="K145" s="187" t="s">
        <v>527</v>
      </c>
      <c r="L145" s="192" t="s">
        <v>527</v>
      </c>
      <c r="N145" s="187" t="str">
        <f t="shared" si="3"/>
        <v/>
      </c>
      <c r="O145" s="188"/>
      <c r="P145" s="189"/>
      <c r="Q145" s="231" t="str">
        <f t="shared" si="4"/>
        <v/>
      </c>
      <c r="R145" s="231" t="str">
        <f t="shared" si="4"/>
        <v/>
      </c>
    </row>
    <row r="146" spans="2:18" x14ac:dyDescent="0.25">
      <c r="B146" s="224" t="s">
        <v>90</v>
      </c>
      <c r="C146" s="188"/>
      <c r="D146" s="188"/>
      <c r="E146" s="194" t="s">
        <v>91</v>
      </c>
      <c r="F146" s="231">
        <v>3.4</v>
      </c>
      <c r="H146" s="187" t="s">
        <v>527</v>
      </c>
      <c r="I146" s="188"/>
      <c r="J146" s="188"/>
      <c r="K146" s="187" t="s">
        <v>527</v>
      </c>
      <c r="L146" s="192" t="s">
        <v>527</v>
      </c>
      <c r="N146" s="187" t="str">
        <f t="shared" si="3"/>
        <v/>
      </c>
      <c r="O146" s="188"/>
      <c r="P146" s="189"/>
      <c r="Q146" s="231" t="str">
        <f t="shared" si="4"/>
        <v/>
      </c>
      <c r="R146" s="231" t="str">
        <f t="shared" si="4"/>
        <v/>
      </c>
    </row>
    <row r="147" spans="2:18" x14ac:dyDescent="0.25">
      <c r="B147" s="224" t="s">
        <v>92</v>
      </c>
      <c r="C147" s="188"/>
      <c r="D147" s="188"/>
      <c r="E147" s="218" t="s">
        <v>126</v>
      </c>
      <c r="F147" s="231">
        <v>5.2</v>
      </c>
      <c r="H147" s="187" t="s">
        <v>527</v>
      </c>
      <c r="I147" s="188"/>
      <c r="J147" s="188"/>
      <c r="K147" s="187" t="s">
        <v>527</v>
      </c>
      <c r="L147" s="192" t="s">
        <v>527</v>
      </c>
      <c r="N147" s="187" t="str">
        <f t="shared" si="3"/>
        <v/>
      </c>
      <c r="O147" s="188"/>
      <c r="P147" s="189"/>
      <c r="Q147" s="231" t="str">
        <f t="shared" si="4"/>
        <v/>
      </c>
      <c r="R147" s="231" t="str">
        <f t="shared" si="4"/>
        <v/>
      </c>
    </row>
    <row r="148" spans="2:18" x14ac:dyDescent="0.25">
      <c r="B148" s="224" t="s">
        <v>93</v>
      </c>
      <c r="C148" s="188"/>
      <c r="D148" s="188"/>
      <c r="E148" s="218" t="s">
        <v>126</v>
      </c>
      <c r="F148" s="231">
        <v>3.4</v>
      </c>
      <c r="H148" s="187" t="s">
        <v>527</v>
      </c>
      <c r="I148" s="188"/>
      <c r="J148" s="188"/>
      <c r="K148" s="187" t="s">
        <v>527</v>
      </c>
      <c r="L148" s="192" t="s">
        <v>527</v>
      </c>
      <c r="N148" s="187" t="str">
        <f t="shared" si="3"/>
        <v/>
      </c>
      <c r="O148" s="188"/>
      <c r="P148" s="189"/>
      <c r="Q148" s="231" t="str">
        <f t="shared" si="4"/>
        <v/>
      </c>
      <c r="R148" s="231" t="str">
        <f t="shared" si="4"/>
        <v/>
      </c>
    </row>
    <row r="149" spans="2:18" x14ac:dyDescent="0.25">
      <c r="B149" s="232" t="s">
        <v>94</v>
      </c>
      <c r="C149" s="188"/>
      <c r="D149" s="188"/>
      <c r="E149" s="218" t="s">
        <v>126</v>
      </c>
      <c r="F149" s="231">
        <v>17.2</v>
      </c>
      <c r="H149" s="187" t="s">
        <v>527</v>
      </c>
      <c r="I149" s="188"/>
      <c r="J149" s="188"/>
      <c r="K149" s="187" t="s">
        <v>527</v>
      </c>
      <c r="L149" s="192" t="s">
        <v>527</v>
      </c>
      <c r="N149" s="187" t="str">
        <f t="shared" si="3"/>
        <v/>
      </c>
      <c r="O149" s="188"/>
      <c r="P149" s="189"/>
      <c r="Q149" s="231" t="str">
        <f t="shared" si="4"/>
        <v/>
      </c>
      <c r="R149" s="231" t="str">
        <f t="shared" si="4"/>
        <v/>
      </c>
    </row>
    <row r="150" spans="2:18" x14ac:dyDescent="0.25">
      <c r="B150" s="224" t="s">
        <v>120</v>
      </c>
      <c r="C150" s="188"/>
      <c r="D150" s="188"/>
      <c r="E150" s="218" t="s">
        <v>127</v>
      </c>
      <c r="F150" s="231">
        <v>28.6</v>
      </c>
      <c r="H150" s="187" t="s">
        <v>527</v>
      </c>
      <c r="I150" s="188"/>
      <c r="J150" s="188"/>
      <c r="K150" s="187" t="s">
        <v>527</v>
      </c>
      <c r="L150" s="192" t="s">
        <v>527</v>
      </c>
      <c r="N150" s="187" t="str">
        <f t="shared" si="3"/>
        <v/>
      </c>
      <c r="O150" s="188"/>
      <c r="P150" s="189"/>
      <c r="Q150" s="231" t="str">
        <f t="shared" si="4"/>
        <v/>
      </c>
      <c r="R150" s="231" t="str">
        <f t="shared" si="4"/>
        <v/>
      </c>
    </row>
    <row r="151" spans="2:18" x14ac:dyDescent="0.25">
      <c r="B151" s="224" t="s">
        <v>121</v>
      </c>
      <c r="C151" s="188"/>
      <c r="D151" s="188"/>
      <c r="E151" s="218" t="s">
        <v>127</v>
      </c>
      <c r="F151" s="231">
        <v>18.399999999999999</v>
      </c>
      <c r="H151" s="187" t="s">
        <v>527</v>
      </c>
      <c r="I151" s="188"/>
      <c r="J151" s="188"/>
      <c r="K151" s="187" t="s">
        <v>527</v>
      </c>
      <c r="L151" s="192" t="s">
        <v>527</v>
      </c>
      <c r="N151" s="187" t="str">
        <f t="shared" si="3"/>
        <v/>
      </c>
      <c r="O151" s="188"/>
      <c r="P151" s="189"/>
      <c r="Q151" s="231" t="str">
        <f t="shared" si="4"/>
        <v/>
      </c>
      <c r="R151" s="231" t="str">
        <f t="shared" si="4"/>
        <v/>
      </c>
    </row>
    <row r="152" spans="2:18" x14ac:dyDescent="0.25">
      <c r="B152" s="224" t="s">
        <v>122</v>
      </c>
      <c r="C152" s="188"/>
      <c r="D152" s="188"/>
      <c r="E152" s="218" t="s">
        <v>127</v>
      </c>
      <c r="F152" s="231">
        <v>14.9</v>
      </c>
      <c r="H152" s="187" t="s">
        <v>527</v>
      </c>
      <c r="I152" s="188"/>
      <c r="J152" s="188"/>
      <c r="K152" s="187" t="s">
        <v>527</v>
      </c>
      <c r="L152" s="192" t="s">
        <v>527</v>
      </c>
      <c r="N152" s="187" t="str">
        <f t="shared" si="3"/>
        <v/>
      </c>
      <c r="O152" s="188"/>
      <c r="P152" s="189"/>
      <c r="Q152" s="231" t="str">
        <f t="shared" si="4"/>
        <v/>
      </c>
      <c r="R152" s="231" t="str">
        <f t="shared" si="4"/>
        <v/>
      </c>
    </row>
    <row r="153" spans="2:18" x14ac:dyDescent="0.25">
      <c r="B153" s="224" t="s">
        <v>123</v>
      </c>
      <c r="C153" s="188"/>
      <c r="D153" s="188"/>
      <c r="E153" s="194" t="s">
        <v>127</v>
      </c>
      <c r="F153" s="194">
        <v>11.8</v>
      </c>
      <c r="H153" s="187" t="s">
        <v>527</v>
      </c>
      <c r="I153" s="188"/>
      <c r="J153" s="188"/>
      <c r="K153" s="187" t="s">
        <v>527</v>
      </c>
      <c r="L153" s="192" t="s">
        <v>527</v>
      </c>
      <c r="N153" s="187" t="str">
        <f t="shared" si="3"/>
        <v/>
      </c>
      <c r="O153" s="188"/>
      <c r="P153" s="189"/>
      <c r="Q153" s="231" t="str">
        <f t="shared" si="4"/>
        <v/>
      </c>
      <c r="R153" s="231" t="str">
        <f t="shared" si="4"/>
        <v/>
      </c>
    </row>
    <row r="154" spans="2:18" x14ac:dyDescent="0.25">
      <c r="B154" s="187" t="s">
        <v>95</v>
      </c>
      <c r="C154" s="188"/>
      <c r="D154" s="188"/>
      <c r="E154" s="194" t="s">
        <v>126</v>
      </c>
      <c r="F154" s="194">
        <v>8.6999999999999993</v>
      </c>
      <c r="H154" s="187" t="s">
        <v>527</v>
      </c>
      <c r="I154" s="188"/>
      <c r="J154" s="188"/>
      <c r="K154" s="187" t="s">
        <v>527</v>
      </c>
      <c r="L154" s="192" t="s">
        <v>527</v>
      </c>
      <c r="N154" s="187" t="str">
        <f t="shared" si="3"/>
        <v/>
      </c>
      <c r="O154" s="188"/>
      <c r="P154" s="189"/>
      <c r="Q154" s="231" t="str">
        <f t="shared" si="4"/>
        <v/>
      </c>
      <c r="R154" s="231" t="str">
        <f t="shared" si="4"/>
        <v/>
      </c>
    </row>
    <row r="155" spans="2:18" x14ac:dyDescent="0.25">
      <c r="B155" s="187" t="s">
        <v>96</v>
      </c>
      <c r="C155" s="188"/>
      <c r="D155" s="188"/>
      <c r="E155" s="194" t="s">
        <v>126</v>
      </c>
      <c r="F155" s="194">
        <v>5.3</v>
      </c>
      <c r="H155" s="187" t="s">
        <v>527</v>
      </c>
      <c r="I155" s="188"/>
      <c r="J155" s="188"/>
      <c r="K155" s="187" t="s">
        <v>527</v>
      </c>
      <c r="L155" s="192" t="s">
        <v>527</v>
      </c>
      <c r="N155" s="187" t="str">
        <f t="shared" si="3"/>
        <v/>
      </c>
      <c r="O155" s="188"/>
      <c r="P155" s="189"/>
      <c r="Q155" s="231" t="str">
        <f t="shared" si="4"/>
        <v/>
      </c>
      <c r="R155" s="231" t="str">
        <f t="shared" si="4"/>
        <v/>
      </c>
    </row>
    <row r="156" spans="2:18" x14ac:dyDescent="0.25">
      <c r="B156" s="187" t="s">
        <v>124</v>
      </c>
      <c r="C156" s="188"/>
      <c r="D156" s="188"/>
      <c r="E156" s="218" t="s">
        <v>126</v>
      </c>
      <c r="F156" s="231">
        <v>8.6</v>
      </c>
      <c r="H156" s="187" t="s">
        <v>527</v>
      </c>
      <c r="I156" s="188"/>
      <c r="J156" s="188"/>
      <c r="K156" s="187" t="s">
        <v>527</v>
      </c>
      <c r="L156" s="192" t="s">
        <v>527</v>
      </c>
      <c r="N156" s="187" t="str">
        <f>+IF($S$7=2,B156,IF($S$7=3,H156,""))</f>
        <v/>
      </c>
      <c r="O156" s="188"/>
      <c r="P156" s="189"/>
      <c r="Q156" s="231" t="str">
        <f t="shared" ref="Q156:R159" si="5">+IF($S$7=2,E156,IF($S$7=3,K156,""))</f>
        <v/>
      </c>
      <c r="R156" s="231" t="str">
        <f t="shared" si="5"/>
        <v/>
      </c>
    </row>
    <row r="157" spans="2:18" x14ac:dyDescent="0.25">
      <c r="B157" s="187" t="s">
        <v>761</v>
      </c>
      <c r="C157" s="188"/>
      <c r="D157" s="188"/>
      <c r="E157" s="218" t="s">
        <v>126</v>
      </c>
      <c r="F157" s="231">
        <v>2.2000000000000002</v>
      </c>
      <c r="H157" s="187" t="s">
        <v>527</v>
      </c>
      <c r="I157" s="188"/>
      <c r="J157" s="188"/>
      <c r="K157" s="187" t="s">
        <v>527</v>
      </c>
      <c r="L157" s="192" t="s">
        <v>527</v>
      </c>
      <c r="N157" s="187" t="str">
        <f>+IF($S$7=2,B157,IF($S$7=3,H157,""))</f>
        <v/>
      </c>
      <c r="O157" s="188"/>
      <c r="P157" s="189"/>
      <c r="Q157" s="231" t="str">
        <f t="shared" si="5"/>
        <v/>
      </c>
      <c r="R157" s="231" t="str">
        <f t="shared" si="5"/>
        <v/>
      </c>
    </row>
    <row r="158" spans="2:18" x14ac:dyDescent="0.25">
      <c r="B158" s="187" t="s">
        <v>125</v>
      </c>
      <c r="C158" s="188"/>
      <c r="D158" s="188"/>
      <c r="E158" s="194" t="s">
        <v>126</v>
      </c>
      <c r="F158" s="194">
        <v>2.2000000000000002</v>
      </c>
      <c r="H158" s="187" t="s">
        <v>527</v>
      </c>
      <c r="I158" s="188"/>
      <c r="J158" s="188"/>
      <c r="K158" s="187" t="s">
        <v>527</v>
      </c>
      <c r="L158" s="192" t="s">
        <v>527</v>
      </c>
      <c r="N158" s="187" t="str">
        <f>+IF($S$7=2,B158,IF($S$7=3,H158,""))</f>
        <v/>
      </c>
      <c r="O158" s="188"/>
      <c r="P158" s="189"/>
      <c r="Q158" s="231" t="str">
        <f t="shared" si="5"/>
        <v/>
      </c>
      <c r="R158" s="231" t="str">
        <f t="shared" si="5"/>
        <v/>
      </c>
    </row>
    <row r="159" spans="2:18" x14ac:dyDescent="0.25">
      <c r="B159" s="107" t="s">
        <v>513</v>
      </c>
      <c r="C159" s="190"/>
      <c r="D159" s="190"/>
      <c r="E159" s="195" t="s">
        <v>512</v>
      </c>
      <c r="F159" s="191" t="s">
        <v>527</v>
      </c>
      <c r="H159" s="107" t="s">
        <v>527</v>
      </c>
      <c r="I159" s="190"/>
      <c r="J159" s="190"/>
      <c r="K159" s="107" t="s">
        <v>527</v>
      </c>
      <c r="L159" s="106" t="s">
        <v>527</v>
      </c>
      <c r="N159" s="107" t="str">
        <f>+IF($S$7=2,B159,IF($S$7=3,H159,""))</f>
        <v/>
      </c>
      <c r="O159" s="190"/>
      <c r="P159" s="191"/>
      <c r="Q159" s="244" t="str">
        <f t="shared" si="5"/>
        <v/>
      </c>
      <c r="R159" s="244" t="str">
        <f t="shared" si="5"/>
        <v/>
      </c>
    </row>
    <row r="172" spans="11:11" x14ac:dyDescent="0.25">
      <c r="K172" s="158"/>
    </row>
    <row r="173" spans="11:11" x14ac:dyDescent="0.25">
      <c r="K173" s="158"/>
    </row>
    <row r="174" spans="11:11" x14ac:dyDescent="0.25">
      <c r="K174" s="158"/>
    </row>
    <row r="175" spans="11:11" x14ac:dyDescent="0.25">
      <c r="K175" s="158"/>
    </row>
    <row r="176" spans="11:11" x14ac:dyDescent="0.25">
      <c r="K176" s="158"/>
    </row>
    <row r="177" spans="10:11" x14ac:dyDescent="0.25">
      <c r="K177" s="158"/>
    </row>
    <row r="178" spans="10:11" x14ac:dyDescent="0.25">
      <c r="K178" s="158"/>
    </row>
    <row r="179" spans="10:11" x14ac:dyDescent="0.25">
      <c r="K179" s="158"/>
    </row>
    <row r="180" spans="10:11" x14ac:dyDescent="0.25">
      <c r="K180" s="158"/>
    </row>
    <row r="181" spans="10:11" x14ac:dyDescent="0.25">
      <c r="J181" s="158"/>
      <c r="K181" s="158"/>
    </row>
    <row r="182" spans="10:11" x14ac:dyDescent="0.25">
      <c r="J182" s="158"/>
      <c r="K182" s="158"/>
    </row>
    <row r="183" spans="10:11" x14ac:dyDescent="0.25">
      <c r="J183" s="158"/>
      <c r="K183" s="158"/>
    </row>
    <row r="184" spans="10:11" x14ac:dyDescent="0.25">
      <c r="J184" s="158"/>
      <c r="K184" s="158"/>
    </row>
    <row r="185" spans="10:11" x14ac:dyDescent="0.25">
      <c r="J185" s="158"/>
      <c r="K185" s="158"/>
    </row>
    <row r="186" spans="10:11" x14ac:dyDescent="0.25">
      <c r="J186" s="158"/>
      <c r="K186" s="158"/>
    </row>
    <row r="187" spans="10:11" x14ac:dyDescent="0.25">
      <c r="J187" s="158"/>
      <c r="K187" s="158"/>
    </row>
    <row r="188" spans="10:11" x14ac:dyDescent="0.25">
      <c r="J188" s="158"/>
      <c r="K188" s="158"/>
    </row>
    <row r="189" spans="10:11" x14ac:dyDescent="0.25">
      <c r="J189" s="158"/>
      <c r="K189" s="158"/>
    </row>
    <row r="190" spans="10:11" x14ac:dyDescent="0.25">
      <c r="J190" s="158"/>
      <c r="K190" s="158"/>
    </row>
    <row r="191" spans="10:11" x14ac:dyDescent="0.25">
      <c r="J191" s="158"/>
      <c r="K191" s="158"/>
    </row>
    <row r="192" spans="10:11" x14ac:dyDescent="0.25">
      <c r="J192" s="158"/>
      <c r="K192" s="158"/>
    </row>
    <row r="193" spans="10:11" x14ac:dyDescent="0.25">
      <c r="J193" s="158"/>
      <c r="K193" s="158"/>
    </row>
    <row r="194" spans="10:11" x14ac:dyDescent="0.25">
      <c r="J194" s="158"/>
      <c r="K194" s="158"/>
    </row>
    <row r="195" spans="10:11" x14ac:dyDescent="0.25">
      <c r="J195" s="158"/>
      <c r="K195" s="158"/>
    </row>
    <row r="196" spans="10:11" x14ac:dyDescent="0.25">
      <c r="J196" s="158"/>
      <c r="K196" s="158"/>
    </row>
    <row r="197" spans="10:11" x14ac:dyDescent="0.25">
      <c r="J197" s="158"/>
      <c r="K197" s="158"/>
    </row>
    <row r="198" spans="10:11" x14ac:dyDescent="0.25">
      <c r="J198" s="158"/>
      <c r="K198" s="158"/>
    </row>
    <row r="199" spans="10:11" x14ac:dyDescent="0.25">
      <c r="J199" s="158"/>
      <c r="K199" s="158"/>
    </row>
    <row r="200" spans="10:11" x14ac:dyDescent="0.25">
      <c r="J200" s="158"/>
      <c r="K200" s="158"/>
    </row>
    <row r="201" spans="10:11" x14ac:dyDescent="0.25">
      <c r="J201" s="158"/>
      <c r="K201" s="158"/>
    </row>
    <row r="202" spans="10:11" x14ac:dyDescent="0.25">
      <c r="J202" s="158"/>
      <c r="K202" s="158"/>
    </row>
  </sheetData>
  <sheetProtection password="CDF4" sheet="1" objects="1" scenarios="1"/>
  <autoFilter ref="B90:F159" xr:uid="{00000000-0009-0000-0000-000008000000}"/>
  <mergeCells count="34">
    <mergeCell ref="G73:H73"/>
    <mergeCell ref="M26:M27"/>
    <mergeCell ref="N88:R88"/>
    <mergeCell ref="J26:J27"/>
    <mergeCell ref="K26:L26"/>
    <mergeCell ref="I72:J73"/>
    <mergeCell ref="B72:H72"/>
    <mergeCell ref="B73:D74"/>
    <mergeCell ref="E73:F73"/>
    <mergeCell ref="B89:D89"/>
    <mergeCell ref="H89:J89"/>
    <mergeCell ref="N89:P89"/>
    <mergeCell ref="Q89:R89"/>
    <mergeCell ref="B75:C75"/>
    <mergeCell ref="B85:C85"/>
    <mergeCell ref="B88:F88"/>
    <mergeCell ref="H88:L88"/>
    <mergeCell ref="E19:F19"/>
    <mergeCell ref="E20:F20"/>
    <mergeCell ref="E21:F21"/>
    <mergeCell ref="B62:F62"/>
    <mergeCell ref="E22:F22"/>
    <mergeCell ref="B26:D27"/>
    <mergeCell ref="F26:I26"/>
    <mergeCell ref="H27:I27"/>
    <mergeCell ref="B18:D18"/>
    <mergeCell ref="E18:F18"/>
    <mergeCell ref="A1:I1"/>
    <mergeCell ref="E14:F14"/>
    <mergeCell ref="B10:D10"/>
    <mergeCell ref="E10:F10"/>
    <mergeCell ref="E11:F11"/>
    <mergeCell ref="E12:F12"/>
    <mergeCell ref="E13:F13"/>
  </mergeCells>
  <phoneticPr fontId="4" type="noConversion"/>
  <pageMargins left="0.75" right="0.75" top="1" bottom="0.56999999999999995" header="0.5" footer="0.5"/>
  <pageSetup paperSize="9" scale="84" orientation="landscape"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7" r:id="rId4" name="Drop Down 23">
              <controlPr defaultSize="0" autoLine="0" autoPict="0">
                <anchor moveWithCells="1">
                  <from>
                    <xdr:col>1</xdr:col>
                    <xdr:colOff>7620</xdr:colOff>
                    <xdr:row>10</xdr:row>
                    <xdr:rowOff>0</xdr:rowOff>
                  </from>
                  <to>
                    <xdr:col>4</xdr:col>
                    <xdr:colOff>7620</xdr:colOff>
                    <xdr:row>11</xdr:row>
                    <xdr:rowOff>7620</xdr:rowOff>
                  </to>
                </anchor>
              </controlPr>
            </control>
          </mc:Choice>
        </mc:AlternateContent>
        <mc:AlternateContent xmlns:mc="http://schemas.openxmlformats.org/markup-compatibility/2006">
          <mc:Choice Requires="x14">
            <control shapeId="11288" r:id="rId5" name="Drop Down 24">
              <controlPr defaultSize="0" autoLine="0" autoPict="0">
                <anchor moveWithCells="1">
                  <from>
                    <xdr:col>1</xdr:col>
                    <xdr:colOff>7620</xdr:colOff>
                    <xdr:row>11</xdr:row>
                    <xdr:rowOff>7620</xdr:rowOff>
                  </from>
                  <to>
                    <xdr:col>4</xdr:col>
                    <xdr:colOff>0</xdr:colOff>
                    <xdr:row>12</xdr:row>
                    <xdr:rowOff>22860</xdr:rowOff>
                  </to>
                </anchor>
              </controlPr>
            </control>
          </mc:Choice>
        </mc:AlternateContent>
        <mc:AlternateContent xmlns:mc="http://schemas.openxmlformats.org/markup-compatibility/2006">
          <mc:Choice Requires="x14">
            <control shapeId="11289" r:id="rId6" name="Drop Down 25">
              <controlPr defaultSize="0" autoLine="0" autoPict="0">
                <anchor moveWithCells="1">
                  <from>
                    <xdr:col>1</xdr:col>
                    <xdr:colOff>7620</xdr:colOff>
                    <xdr:row>12</xdr:row>
                    <xdr:rowOff>0</xdr:rowOff>
                  </from>
                  <to>
                    <xdr:col>4</xdr:col>
                    <xdr:colOff>0</xdr:colOff>
                    <xdr:row>13</xdr:row>
                    <xdr:rowOff>7620</xdr:rowOff>
                  </to>
                </anchor>
              </controlPr>
            </control>
          </mc:Choice>
        </mc:AlternateContent>
        <mc:AlternateContent xmlns:mc="http://schemas.openxmlformats.org/markup-compatibility/2006">
          <mc:Choice Requires="x14">
            <control shapeId="11290" r:id="rId7" name="Drop Down 26">
              <controlPr defaultSize="0" autoLine="0" autoPict="0">
                <anchor moveWithCells="1">
                  <from>
                    <xdr:col>1</xdr:col>
                    <xdr:colOff>7620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1291" r:id="rId8" name="Drop Down 27">
              <controlPr defaultSize="0" autoLine="0" autoPict="0">
                <anchor moveWithCells="1">
                  <from>
                    <xdr:col>1</xdr:col>
                    <xdr:colOff>7620</xdr:colOff>
                    <xdr:row>19</xdr:row>
                    <xdr:rowOff>0</xdr:rowOff>
                  </from>
                  <to>
                    <xdr:col>4</xdr:col>
                    <xdr:colOff>7620</xdr:colOff>
                    <xdr:row>20</xdr:row>
                    <xdr:rowOff>7620</xdr:rowOff>
                  </to>
                </anchor>
              </controlPr>
            </control>
          </mc:Choice>
        </mc:AlternateContent>
        <mc:AlternateContent xmlns:mc="http://schemas.openxmlformats.org/markup-compatibility/2006">
          <mc:Choice Requires="x14">
            <control shapeId="11292" r:id="rId9" name="Drop Down 28">
              <controlPr defaultSize="0" autoLine="0" autoPict="0">
                <anchor moveWithCells="1">
                  <from>
                    <xdr:col>1</xdr:col>
                    <xdr:colOff>0</xdr:colOff>
                    <xdr:row>26</xdr:row>
                    <xdr:rowOff>152400</xdr:rowOff>
                  </from>
                  <to>
                    <xdr:col>3</xdr:col>
                    <xdr:colOff>944880</xdr:colOff>
                    <xdr:row>27</xdr:row>
                    <xdr:rowOff>160020</xdr:rowOff>
                  </to>
                </anchor>
              </controlPr>
            </control>
          </mc:Choice>
        </mc:AlternateContent>
        <mc:AlternateContent xmlns:mc="http://schemas.openxmlformats.org/markup-compatibility/2006">
          <mc:Choice Requires="x14">
            <control shapeId="11293" r:id="rId10" name="Drop Down 29">
              <controlPr defaultSize="0" autoLine="0" autoPict="0">
                <anchor moveWithCells="1">
                  <from>
                    <xdr:col>1</xdr:col>
                    <xdr:colOff>7620</xdr:colOff>
                    <xdr:row>20</xdr:row>
                    <xdr:rowOff>0</xdr:rowOff>
                  </from>
                  <to>
                    <xdr:col>4</xdr:col>
                    <xdr:colOff>0</xdr:colOff>
                    <xdr:row>21</xdr:row>
                    <xdr:rowOff>7620</xdr:rowOff>
                  </to>
                </anchor>
              </controlPr>
            </control>
          </mc:Choice>
        </mc:AlternateContent>
        <mc:AlternateContent xmlns:mc="http://schemas.openxmlformats.org/markup-compatibility/2006">
          <mc:Choice Requires="x14">
            <control shapeId="11294" r:id="rId11" name="Drop Down 30">
              <controlPr defaultSize="0" autoLine="0" autoPict="0">
                <anchor moveWithCells="1">
                  <from>
                    <xdr:col>2</xdr:col>
                    <xdr:colOff>693420</xdr:colOff>
                    <xdr:row>5</xdr:row>
                    <xdr:rowOff>144780</xdr:rowOff>
                  </from>
                  <to>
                    <xdr:col>6</xdr:col>
                    <xdr:colOff>350520</xdr:colOff>
                    <xdr:row>7</xdr:row>
                    <xdr:rowOff>45720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7754C8B-E90A-40FD-94A5-D9EEA2769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F747BD3-6F17-48CD-AACD-F3C7820FDD4E}">
  <ds:schemaRefs>
    <ds:schemaRef ds:uri="http://schemas.microsoft.com/sharepoint/v3/contenttype/forms"/>
  </ds:schemaRefs>
</ds:datastoreItem>
</file>

<file path=customXml/itemProps3.xml><?xml version="1.0" encoding="utf-8"?>
<ds:datastoreItem xmlns:ds="http://schemas.openxmlformats.org/officeDocument/2006/customXml" ds:itemID="{7B9BECF2-9EF2-4D57-9B59-66F34ED65F01}">
  <ds:schemaRefs>
    <ds:schemaRef ds:uri="http://purl.org/dc/terms/"/>
    <ds:schemaRef ds:uri="dcf13a8c-8bd3-4ac7-8c19-6244a771e9dd"/>
    <ds:schemaRef ds:uri="http://schemas.microsoft.com/office/2006/documentManagement/types"/>
    <ds:schemaRef ds:uri="http://www.w3.org/XML/1998/namespace"/>
    <ds:schemaRef ds:uri="3a493a26-741a-42fd-8777-f88520cae55b"/>
    <ds:schemaRef ds:uri="http://schemas.openxmlformats.org/package/2006/metadata/core-properties"/>
    <ds:schemaRef ds:uri="http://purl.org/dc/dcmitype/"/>
    <ds:schemaRef ds:uri="http://schemas.microsoft.com/sharepoint/v3"/>
    <ds:schemaRef ds:uri="http://schemas.microsoft.com/office/2006/metadata/properties"/>
    <ds:schemaRef ds:uri="http://purl.org/dc/elements/1.1/"/>
    <ds:schemaRef ds:uri="http://schemas.microsoft.com/office/infopath/2007/PartnerControls"/>
  </ds:schemaRefs>
</ds:datastoreItem>
</file>

<file path=customXml/itemProps4.xml><?xml version="1.0" encoding="utf-8"?>
<ds:datastoreItem xmlns:ds="http://schemas.openxmlformats.org/officeDocument/2006/customXml" ds:itemID="{93ACD450-2D95-4F11-9994-0B2E9920478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Welcome</vt:lpstr>
      <vt:lpstr>Summary</vt:lpstr>
      <vt:lpstr>June 2009 Summary</vt:lpstr>
      <vt:lpstr>Sewer</vt:lpstr>
      <vt:lpstr>Water</vt:lpstr>
      <vt:lpstr>Open Space</vt:lpstr>
      <vt:lpstr>Car Parking</vt:lpstr>
      <vt:lpstr>Peds &amp; Bikes</vt:lpstr>
      <vt:lpstr>Roads</vt:lpstr>
      <vt:lpstr>Storm Water</vt:lpstr>
      <vt:lpstr>Waivers 1, 2 and 3</vt:lpstr>
      <vt:lpstr>Waiver 4</vt:lpstr>
      <vt:lpstr>Waiver 6</vt:lpstr>
      <vt:lpstr>Amendments</vt:lpstr>
      <vt:lpstr>'Waivers 1, 2 and 3'!OLE_LINK14</vt:lpstr>
      <vt:lpstr>'Waivers 1, 2 and 3'!OLE_LINK16</vt:lpstr>
      <vt:lpstr>'Waivers 1, 2 and 3'!OLE_LINK18</vt:lpstr>
      <vt:lpstr>'June 2009 Summary'!Print_Area</vt:lpstr>
      <vt:lpstr>'Open Space'!Print_Area</vt:lpstr>
      <vt:lpstr>'Peds &amp; Bikes'!Print_Area</vt:lpstr>
      <vt:lpstr>Roads!Print_Area</vt:lpstr>
      <vt:lpstr>Sewer!Print_Area</vt:lpstr>
      <vt:lpstr>'Storm Water'!Print_Area</vt:lpstr>
      <vt:lpstr>Summary!Print_Area</vt:lpstr>
      <vt:lpstr>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COT Contribution Calculator v5.18 - Effective from 28 Oct 2009 to 30 Jun 2011.xls</dc:title>
  <dc:creator>Darron Irwin</dc:creator>
  <cp:lastModifiedBy>Mark Sulovski</cp:lastModifiedBy>
  <cp:lastPrinted>2012-08-27T00:46:54Z</cp:lastPrinted>
  <dcterms:created xsi:type="dcterms:W3CDTF">2008-08-04T21:17:38Z</dcterms:created>
  <dcterms:modified xsi:type="dcterms:W3CDTF">2024-08-26T23:52:56Z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