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0.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17B09137-8FCB-498D-9F68-2C4576F7BF06}" xr6:coauthVersionLast="47" xr6:coauthVersionMax="47" xr10:uidLastSave="{00000000-0000-0000-0000-000000000000}"/>
  <bookViews>
    <workbookView xWindow="19090" yWindow="-110" windowWidth="19420" windowHeight="10420" tabRatio="663" xr2:uid="{00000000-000D-0000-FFFF-FFFF00000000}"/>
  </bookViews>
  <sheets>
    <sheet name="Welcome" sheetId="8" r:id="rId1"/>
    <sheet name="Summary" sheetId="21" r:id="rId2"/>
    <sheet name="June 2009 Summary" sheetId="10" state="hidden" r:id="rId3"/>
    <sheet name="Sewer" sheetId="17" r:id="rId4"/>
    <sheet name="Water" sheetId="12" r:id="rId5"/>
    <sheet name="Open Space" sheetId="14" r:id="rId6"/>
    <sheet name="Peds &amp; Bikes" sheetId="18" r:id="rId7"/>
    <sheet name="Car Parking" sheetId="11" r:id="rId8"/>
    <sheet name="Roads" sheetId="16" r:id="rId9"/>
    <sheet name="Storm Water" sheetId="15" r:id="rId10"/>
    <sheet name="Waivers" sheetId="19" r:id="rId11"/>
    <sheet name="Waiver 6" sheetId="22" r:id="rId12"/>
    <sheet name="Amendments" sheetId="2" r:id="rId13"/>
  </sheets>
  <definedNames>
    <definedName name="_xlnm._FilterDatabase" localSheetId="8" hidden="1">Roads!$B$90:$F$159</definedName>
    <definedName name="OLE_LINK14" localSheetId="10">Waivers!$H$92</definedName>
    <definedName name="OLE_LINK16" localSheetId="10">Waivers!$H$96</definedName>
    <definedName name="OLE_LINK18" localSheetId="10">Waivers!$H$116</definedName>
    <definedName name="_xlnm.Print_Area" localSheetId="12">Amendments!$A$1:$P$22</definedName>
    <definedName name="_xlnm.Print_Area" localSheetId="7">'Car Parking'!$A$1:$N$17</definedName>
    <definedName name="_xlnm.Print_Area" localSheetId="2">'June 2009 Summary'!$A$1:$K$42</definedName>
    <definedName name="_xlnm.Print_Area" localSheetId="5">'Open Space'!$A$1:$L$21</definedName>
    <definedName name="_xlnm.Print_Area" localSheetId="6">'Peds &amp; Bikes'!$A$1:$L$31</definedName>
    <definedName name="_xlnm.Print_Area" localSheetId="8">Roads!$A$1:$M$39</definedName>
    <definedName name="_xlnm.Print_Area" localSheetId="3">Sewer!$A$1:$M$51</definedName>
    <definedName name="_xlnm.Print_Area" localSheetId="9">'Storm Water'!$A$1:$L$30</definedName>
    <definedName name="_xlnm.Print_Area" localSheetId="1">Summary!$A$1:$J$39</definedName>
    <definedName name="_xlnm.Print_Area" localSheetId="10">Waivers!$A$1:$M$73</definedName>
    <definedName name="_xlnm.Print_Area" localSheetId="4">Water!$A$1:$M$60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B2" i="21" l="1"/>
  <c r="H25" i="21"/>
  <c r="E19" i="14"/>
  <c r="G19" i="14"/>
  <c r="D69" i="19"/>
  <c r="D62" i="19"/>
  <c r="F16" i="12"/>
  <c r="I16" i="12" s="1"/>
  <c r="J16" i="12" s="1"/>
  <c r="F17" i="12"/>
  <c r="I17" i="12" s="1"/>
  <c r="J17" i="12" s="1"/>
  <c r="H10" i="11"/>
  <c r="H13" i="14"/>
  <c r="I13" i="14" s="1"/>
  <c r="J13" i="14" s="1"/>
  <c r="F11" i="11"/>
  <c r="F14" i="14"/>
  <c r="I10" i="11"/>
  <c r="H9" i="11"/>
  <c r="H12" i="14"/>
  <c r="F15" i="17"/>
  <c r="I15" i="17" s="1"/>
  <c r="J15" i="17" s="1"/>
  <c r="F16" i="17"/>
  <c r="I16" i="17"/>
  <c r="J16" i="17" s="1"/>
  <c r="F14" i="17"/>
  <c r="E17" i="17" s="1"/>
  <c r="F14" i="21"/>
  <c r="G14" i="21" s="1"/>
  <c r="C63" i="19"/>
  <c r="L41" i="19"/>
  <c r="L42" i="19"/>
  <c r="L40" i="19"/>
  <c r="C24" i="19"/>
  <c r="L28" i="16"/>
  <c r="D39" i="16" s="1"/>
  <c r="E12" i="16"/>
  <c r="H12" i="16"/>
  <c r="I12" i="16" s="1"/>
  <c r="G41" i="19" s="1"/>
  <c r="M41" i="19" s="1"/>
  <c r="E13" i="16"/>
  <c r="H13" i="16" s="1"/>
  <c r="I13" i="16" s="1"/>
  <c r="G42" i="19" s="1"/>
  <c r="M42" i="19" s="1"/>
  <c r="E19" i="16"/>
  <c r="H19" i="16"/>
  <c r="I19" i="16" s="1"/>
  <c r="I23" i="16" s="1"/>
  <c r="E20" i="16"/>
  <c r="H20" i="16" s="1"/>
  <c r="I20" i="16" s="1"/>
  <c r="E21" i="16"/>
  <c r="H21" i="16" s="1"/>
  <c r="I21" i="16" s="1"/>
  <c r="F28" i="16"/>
  <c r="J28" i="16"/>
  <c r="K28" i="16" s="1"/>
  <c r="F29" i="16"/>
  <c r="K29" i="16"/>
  <c r="J29" i="16"/>
  <c r="F30" i="16"/>
  <c r="J30" i="16"/>
  <c r="K30" i="16" s="1"/>
  <c r="F31" i="16"/>
  <c r="K31" i="16" s="1"/>
  <c r="J31" i="16"/>
  <c r="AC71" i="17"/>
  <c r="AD71" i="17"/>
  <c r="H31" i="17"/>
  <c r="H34" i="17" s="1"/>
  <c r="H32" i="17"/>
  <c r="H33" i="17"/>
  <c r="K8" i="12"/>
  <c r="L8" i="12" s="1"/>
  <c r="K9" i="12"/>
  <c r="L9" i="12" s="1"/>
  <c r="H30" i="12"/>
  <c r="H31" i="12"/>
  <c r="H33" i="12" s="1"/>
  <c r="H32" i="12"/>
  <c r="K10" i="12"/>
  <c r="L10" i="12"/>
  <c r="H38" i="12"/>
  <c r="H39" i="12"/>
  <c r="H40" i="12"/>
  <c r="H41" i="12" s="1"/>
  <c r="J10" i="11"/>
  <c r="E16" i="11" s="1"/>
  <c r="F29" i="10" s="1"/>
  <c r="H29" i="10" s="1"/>
  <c r="F14" i="18"/>
  <c r="I14" i="18" s="1"/>
  <c r="J14" i="18" s="1"/>
  <c r="J18" i="18" s="1"/>
  <c r="F15" i="18"/>
  <c r="I15" i="18"/>
  <c r="J15" i="18" s="1"/>
  <c r="F16" i="18"/>
  <c r="I16" i="18" s="1"/>
  <c r="J16" i="18" s="1"/>
  <c r="F22" i="18"/>
  <c r="I22" i="18" s="1"/>
  <c r="J22" i="18" s="1"/>
  <c r="F23" i="18"/>
  <c r="I23" i="18" s="1"/>
  <c r="J23" i="18" s="1"/>
  <c r="F24" i="18"/>
  <c r="I24" i="18"/>
  <c r="J24" i="18" s="1"/>
  <c r="H23" i="17"/>
  <c r="H24" i="17"/>
  <c r="H25" i="17"/>
  <c r="H26" i="17"/>
  <c r="I24" i="21"/>
  <c r="I26" i="21"/>
  <c r="I27" i="21"/>
  <c r="I28" i="21"/>
  <c r="I29" i="21"/>
  <c r="I30" i="21"/>
  <c r="I31" i="21"/>
  <c r="I33" i="21"/>
  <c r="I34" i="21"/>
  <c r="I35" i="21"/>
  <c r="I36" i="21"/>
  <c r="I38" i="21"/>
  <c r="I39" i="21"/>
  <c r="I23" i="21"/>
  <c r="G23" i="21"/>
  <c r="G24" i="21"/>
  <c r="G26" i="21"/>
  <c r="G27" i="21"/>
  <c r="G28" i="21"/>
  <c r="G29" i="21"/>
  <c r="G30" i="21"/>
  <c r="G31" i="21"/>
  <c r="G38" i="21"/>
  <c r="M29" i="16"/>
  <c r="J33" i="10" s="1"/>
  <c r="M30" i="16"/>
  <c r="J34" i="10"/>
  <c r="M31" i="16"/>
  <c r="J35" i="10"/>
  <c r="M28" i="16"/>
  <c r="J32" i="10"/>
  <c r="J26" i="15"/>
  <c r="I37" i="10"/>
  <c r="I38" i="10" s="1"/>
  <c r="H26" i="15"/>
  <c r="B22" i="21"/>
  <c r="C23" i="21"/>
  <c r="M8" i="17"/>
  <c r="G47" i="17"/>
  <c r="I22" i="10" s="1"/>
  <c r="I23" i="10" s="1"/>
  <c r="C24" i="21"/>
  <c r="B25" i="21"/>
  <c r="C26" i="21"/>
  <c r="M8" i="12"/>
  <c r="G54" i="12" s="1"/>
  <c r="I25" i="10" s="1"/>
  <c r="I26" i="10" s="1"/>
  <c r="I27" i="10" s="1"/>
  <c r="C27" i="21"/>
  <c r="C28" i="21"/>
  <c r="B29" i="21"/>
  <c r="K13" i="14"/>
  <c r="B30" i="21"/>
  <c r="K10" i="11"/>
  <c r="E15" i="11" s="1"/>
  <c r="I29" i="10" s="1"/>
  <c r="B31" i="21"/>
  <c r="K9" i="18"/>
  <c r="G30" i="18"/>
  <c r="I30" i="10" s="1"/>
  <c r="B32" i="21"/>
  <c r="C33" i="21"/>
  <c r="C34" i="21"/>
  <c r="L29" i="16"/>
  <c r="C35" i="21"/>
  <c r="L30" i="16"/>
  <c r="C36" i="21"/>
  <c r="L31" i="16"/>
  <c r="B37" i="21"/>
  <c r="D30" i="15"/>
  <c r="C41" i="19"/>
  <c r="C42" i="19"/>
  <c r="C74" i="19"/>
  <c r="M9" i="12"/>
  <c r="M10" i="12" s="1"/>
  <c r="C27" i="10"/>
  <c r="C26" i="10"/>
  <c r="C25" i="10"/>
  <c r="AD120" i="12"/>
  <c r="AC120" i="12"/>
  <c r="Z120" i="12"/>
  <c r="AD119" i="12"/>
  <c r="AC119" i="12"/>
  <c r="Z119" i="12"/>
  <c r="AD118" i="12"/>
  <c r="AC118" i="12"/>
  <c r="Z118" i="12"/>
  <c r="AD117" i="12"/>
  <c r="AC117" i="12"/>
  <c r="Z117" i="12"/>
  <c r="AD116" i="12"/>
  <c r="AC116" i="12"/>
  <c r="Z116" i="12"/>
  <c r="AD115" i="12"/>
  <c r="AC115" i="12"/>
  <c r="Z115" i="12"/>
  <c r="AD114" i="12"/>
  <c r="AC114" i="12"/>
  <c r="Z114" i="12"/>
  <c r="AD113" i="12"/>
  <c r="AC113" i="12"/>
  <c r="Z113" i="12"/>
  <c r="AD112" i="12"/>
  <c r="AC112" i="12"/>
  <c r="Z112" i="12"/>
  <c r="AD111" i="12"/>
  <c r="AC111" i="12"/>
  <c r="Z111" i="12"/>
  <c r="AD110" i="12"/>
  <c r="AC110" i="12"/>
  <c r="Z110" i="12"/>
  <c r="AD109" i="12"/>
  <c r="AC109" i="12"/>
  <c r="Z109" i="12"/>
  <c r="AD108" i="12"/>
  <c r="AC108" i="12"/>
  <c r="Z108" i="12"/>
  <c r="AD107" i="12"/>
  <c r="AC107" i="12"/>
  <c r="Z107" i="12"/>
  <c r="AD106" i="12"/>
  <c r="AC106" i="12"/>
  <c r="Z106" i="12"/>
  <c r="AD105" i="12"/>
  <c r="AC105" i="12"/>
  <c r="Z105" i="12"/>
  <c r="AD104" i="12"/>
  <c r="AC104" i="12"/>
  <c r="Z104" i="12"/>
  <c r="AD103" i="12"/>
  <c r="AC103" i="12"/>
  <c r="Z103" i="12"/>
  <c r="AD102" i="12"/>
  <c r="AC102" i="12"/>
  <c r="Z102" i="12"/>
  <c r="AD101" i="12"/>
  <c r="AC101" i="12"/>
  <c r="Z101" i="12"/>
  <c r="AD100" i="12"/>
  <c r="AC100" i="12"/>
  <c r="Z100" i="12"/>
  <c r="AD99" i="12"/>
  <c r="AC99" i="12"/>
  <c r="Z99" i="12"/>
  <c r="AD98" i="12"/>
  <c r="AC98" i="12"/>
  <c r="Z98" i="12"/>
  <c r="AD97" i="12"/>
  <c r="AC97" i="12"/>
  <c r="Z97" i="12"/>
  <c r="AD96" i="12"/>
  <c r="AC96" i="12"/>
  <c r="Z96" i="12"/>
  <c r="AD95" i="12"/>
  <c r="AC95" i="12"/>
  <c r="Z95" i="12"/>
  <c r="AD94" i="12"/>
  <c r="AC94" i="12"/>
  <c r="Z94" i="12"/>
  <c r="AD93" i="12"/>
  <c r="AC93" i="12"/>
  <c r="Z93" i="12"/>
  <c r="AD92" i="12"/>
  <c r="AC92" i="12"/>
  <c r="Z92" i="12"/>
  <c r="AD91" i="12"/>
  <c r="AC91" i="12"/>
  <c r="Z91" i="12"/>
  <c r="AD90" i="12"/>
  <c r="AC90" i="12"/>
  <c r="Z90" i="12"/>
  <c r="AD89" i="12"/>
  <c r="AC89" i="12"/>
  <c r="Z89" i="12"/>
  <c r="AD88" i="12"/>
  <c r="AC88" i="12"/>
  <c r="Z88" i="12"/>
  <c r="AD87" i="12"/>
  <c r="AC87" i="12"/>
  <c r="Z87" i="12"/>
  <c r="AD86" i="12"/>
  <c r="AC86" i="12"/>
  <c r="Z86" i="12"/>
  <c r="AD85" i="12"/>
  <c r="AC85" i="12"/>
  <c r="Z85" i="12"/>
  <c r="AD84" i="12"/>
  <c r="AC84" i="12"/>
  <c r="Z84" i="12"/>
  <c r="AD83" i="12"/>
  <c r="AC83" i="12"/>
  <c r="Z83" i="12"/>
  <c r="AD82" i="12"/>
  <c r="AC82" i="12"/>
  <c r="Z82" i="12"/>
  <c r="AD81" i="12"/>
  <c r="AC81" i="12"/>
  <c r="Z81" i="12"/>
  <c r="AD80" i="12"/>
  <c r="AC80" i="12"/>
  <c r="Z80" i="12"/>
  <c r="AD79" i="12"/>
  <c r="AC79" i="12"/>
  <c r="Z79" i="12"/>
  <c r="AD78" i="12"/>
  <c r="AC78" i="12"/>
  <c r="Z78" i="12"/>
  <c r="AD77" i="12"/>
  <c r="AC77" i="12"/>
  <c r="Z77" i="12"/>
  <c r="AD76" i="12"/>
  <c r="AC76" i="12"/>
  <c r="F15" i="12"/>
  <c r="I15" i="12" s="1"/>
  <c r="J15" i="12" s="1"/>
  <c r="Z76" i="12"/>
  <c r="AD75" i="12"/>
  <c r="AC75" i="12"/>
  <c r="Z75" i="12"/>
  <c r="AD73" i="12"/>
  <c r="AC73" i="12"/>
  <c r="Z73" i="12"/>
  <c r="J18" i="12"/>
  <c r="L50" i="12"/>
  <c r="J50" i="12"/>
  <c r="H50" i="12"/>
  <c r="G40" i="12"/>
  <c r="F40" i="12"/>
  <c r="G39" i="12"/>
  <c r="F39" i="12"/>
  <c r="G38" i="12"/>
  <c r="F38" i="12"/>
  <c r="G32" i="12"/>
  <c r="F32" i="12"/>
  <c r="G31" i="12"/>
  <c r="F31" i="12"/>
  <c r="G30" i="12"/>
  <c r="F30" i="12"/>
  <c r="I10" i="12"/>
  <c r="I9" i="12"/>
  <c r="L7" i="12"/>
  <c r="I14" i="16"/>
  <c r="I22" i="16"/>
  <c r="T73" i="15"/>
  <c r="I11" i="15"/>
  <c r="J11" i="15" s="1"/>
  <c r="I12" i="15"/>
  <c r="J12" i="15"/>
  <c r="I13" i="15"/>
  <c r="J13" i="15" s="1"/>
  <c r="T74" i="15"/>
  <c r="I19" i="15"/>
  <c r="J19" i="15" s="1"/>
  <c r="T76" i="15"/>
  <c r="I20" i="15"/>
  <c r="J20" i="15"/>
  <c r="I18" i="15"/>
  <c r="J18" i="15"/>
  <c r="E26" i="15"/>
  <c r="I26" i="15" s="1"/>
  <c r="E23" i="17"/>
  <c r="F23" i="17"/>
  <c r="J17" i="18"/>
  <c r="J25" i="18"/>
  <c r="D38" i="16"/>
  <c r="D71" i="19" s="1"/>
  <c r="D36" i="16"/>
  <c r="D37" i="16"/>
  <c r="D70" i="19" s="1"/>
  <c r="D35" i="16"/>
  <c r="D68" i="19" s="1"/>
  <c r="I33" i="10"/>
  <c r="I34" i="10"/>
  <c r="I35" i="10"/>
  <c r="I32" i="10"/>
  <c r="C32" i="10"/>
  <c r="C33" i="10"/>
  <c r="C34" i="10"/>
  <c r="C35" i="10"/>
  <c r="R159" i="16"/>
  <c r="Q159" i="16"/>
  <c r="N159" i="16"/>
  <c r="R158" i="16"/>
  <c r="Q158" i="16"/>
  <c r="N158" i="16"/>
  <c r="R157" i="16"/>
  <c r="Q157" i="16"/>
  <c r="N157" i="16"/>
  <c r="R156" i="16"/>
  <c r="Q156" i="16"/>
  <c r="N156" i="16"/>
  <c r="R155" i="16"/>
  <c r="Q155" i="16"/>
  <c r="N155" i="16"/>
  <c r="R154" i="16"/>
  <c r="Q154" i="16"/>
  <c r="N154" i="16"/>
  <c r="R153" i="16"/>
  <c r="Q153" i="16"/>
  <c r="N153" i="16"/>
  <c r="R152" i="16"/>
  <c r="Q152" i="16"/>
  <c r="N152" i="16"/>
  <c r="R151" i="16"/>
  <c r="Q151" i="16"/>
  <c r="N151" i="16"/>
  <c r="R150" i="16"/>
  <c r="Q150" i="16"/>
  <c r="N150" i="16"/>
  <c r="R149" i="16"/>
  <c r="Q149" i="16"/>
  <c r="N149" i="16"/>
  <c r="R148" i="16"/>
  <c r="Q148" i="16"/>
  <c r="N148" i="16"/>
  <c r="R147" i="16"/>
  <c r="Q147" i="16"/>
  <c r="N147" i="16"/>
  <c r="R146" i="16"/>
  <c r="Q146" i="16"/>
  <c r="N146" i="16"/>
  <c r="R145" i="16"/>
  <c r="Q145" i="16"/>
  <c r="N145" i="16"/>
  <c r="R144" i="16"/>
  <c r="Q144" i="16"/>
  <c r="N144" i="16"/>
  <c r="R143" i="16"/>
  <c r="Q143" i="16"/>
  <c r="N143" i="16"/>
  <c r="R142" i="16"/>
  <c r="Q142" i="16"/>
  <c r="N142" i="16"/>
  <c r="R141" i="16"/>
  <c r="Q141" i="16"/>
  <c r="N141" i="16"/>
  <c r="R140" i="16"/>
  <c r="Q140" i="16"/>
  <c r="N140" i="16"/>
  <c r="R139" i="16"/>
  <c r="Q139" i="16"/>
  <c r="N139" i="16"/>
  <c r="R138" i="16"/>
  <c r="Q138" i="16"/>
  <c r="N138" i="16"/>
  <c r="R137" i="16"/>
  <c r="Q137" i="16"/>
  <c r="N137" i="16"/>
  <c r="R136" i="16"/>
  <c r="Q136" i="16"/>
  <c r="N136" i="16"/>
  <c r="R135" i="16"/>
  <c r="Q135" i="16"/>
  <c r="N135" i="16"/>
  <c r="R134" i="16"/>
  <c r="Q134" i="16"/>
  <c r="N134" i="16"/>
  <c r="R133" i="16"/>
  <c r="Q133" i="16"/>
  <c r="N133" i="16"/>
  <c r="R132" i="16"/>
  <c r="Q132" i="16"/>
  <c r="N132" i="16"/>
  <c r="R131" i="16"/>
  <c r="Q131" i="16"/>
  <c r="N131" i="16"/>
  <c r="R130" i="16"/>
  <c r="Q130" i="16"/>
  <c r="N130" i="16"/>
  <c r="R129" i="16"/>
  <c r="Q129" i="16"/>
  <c r="N129" i="16"/>
  <c r="R128" i="16"/>
  <c r="Q128" i="16"/>
  <c r="N128" i="16"/>
  <c r="R127" i="16"/>
  <c r="Q127" i="16"/>
  <c r="N127" i="16"/>
  <c r="R126" i="16"/>
  <c r="Q126" i="16"/>
  <c r="N126" i="16"/>
  <c r="R125" i="16"/>
  <c r="Q125" i="16"/>
  <c r="N125" i="16"/>
  <c r="R124" i="16"/>
  <c r="Q124" i="16"/>
  <c r="N124" i="16"/>
  <c r="R123" i="16"/>
  <c r="Q123" i="16"/>
  <c r="N123" i="16"/>
  <c r="R122" i="16"/>
  <c r="Q122" i="16"/>
  <c r="N122" i="16"/>
  <c r="R121" i="16"/>
  <c r="Q121" i="16"/>
  <c r="N121" i="16"/>
  <c r="R120" i="16"/>
  <c r="Q120" i="16"/>
  <c r="N120" i="16"/>
  <c r="R119" i="16"/>
  <c r="Q119" i="16"/>
  <c r="N119" i="16"/>
  <c r="R118" i="16"/>
  <c r="Q118" i="16"/>
  <c r="N118" i="16"/>
  <c r="R117" i="16"/>
  <c r="Q117" i="16"/>
  <c r="N117" i="16"/>
  <c r="R116" i="16"/>
  <c r="Q116" i="16"/>
  <c r="N116" i="16"/>
  <c r="R115" i="16"/>
  <c r="Q115" i="16"/>
  <c r="N115" i="16"/>
  <c r="R114" i="16"/>
  <c r="Q114" i="16"/>
  <c r="N114" i="16"/>
  <c r="R113" i="16"/>
  <c r="Q113" i="16"/>
  <c r="N113" i="16"/>
  <c r="R112" i="16"/>
  <c r="Q112" i="16"/>
  <c r="N112" i="16"/>
  <c r="R111" i="16"/>
  <c r="Q111" i="16"/>
  <c r="N111" i="16"/>
  <c r="R110" i="16"/>
  <c r="Q110" i="16"/>
  <c r="N110" i="16"/>
  <c r="R109" i="16"/>
  <c r="Q109" i="16"/>
  <c r="N109" i="16"/>
  <c r="R108" i="16"/>
  <c r="Q108" i="16"/>
  <c r="N108" i="16"/>
  <c r="R107" i="16"/>
  <c r="Q107" i="16"/>
  <c r="N107" i="16"/>
  <c r="R106" i="16"/>
  <c r="Q106" i="16"/>
  <c r="N106" i="16"/>
  <c r="R105" i="16"/>
  <c r="Q105" i="16"/>
  <c r="N105" i="16"/>
  <c r="R104" i="16"/>
  <c r="Q104" i="16"/>
  <c r="N104" i="16"/>
  <c r="R103" i="16"/>
  <c r="Q103" i="16"/>
  <c r="N103" i="16"/>
  <c r="R102" i="16"/>
  <c r="Q102" i="16"/>
  <c r="N102" i="16"/>
  <c r="R101" i="16"/>
  <c r="Q101" i="16"/>
  <c r="N101" i="16"/>
  <c r="R100" i="16"/>
  <c r="Q100" i="16"/>
  <c r="N100" i="16"/>
  <c r="R99" i="16"/>
  <c r="Q99" i="16"/>
  <c r="N99" i="16"/>
  <c r="R98" i="16"/>
  <c r="Q98" i="16"/>
  <c r="N98" i="16"/>
  <c r="R97" i="16"/>
  <c r="Q97" i="16"/>
  <c r="N97" i="16"/>
  <c r="R96" i="16"/>
  <c r="Q96" i="16"/>
  <c r="N96" i="16"/>
  <c r="R95" i="16"/>
  <c r="Q95" i="16"/>
  <c r="N95" i="16"/>
  <c r="R94" i="16"/>
  <c r="Q94" i="16"/>
  <c r="N94" i="16"/>
  <c r="R93" i="16"/>
  <c r="Q93" i="16"/>
  <c r="N93" i="16"/>
  <c r="R92" i="16"/>
  <c r="Q92" i="16"/>
  <c r="N92" i="16"/>
  <c r="R91" i="16"/>
  <c r="Q91" i="16"/>
  <c r="E11" i="16"/>
  <c r="H11" i="16"/>
  <c r="I11" i="16" s="1"/>
  <c r="N91" i="16"/>
  <c r="C40" i="19"/>
  <c r="Q89" i="16"/>
  <c r="N89" i="16"/>
  <c r="K27" i="16"/>
  <c r="I18" i="16"/>
  <c r="H18" i="16"/>
  <c r="T77" i="15"/>
  <c r="S77" i="15"/>
  <c r="P77" i="15"/>
  <c r="S76" i="15"/>
  <c r="P76" i="15"/>
  <c r="T75" i="15"/>
  <c r="S75" i="15"/>
  <c r="P75" i="15"/>
  <c r="S74" i="15"/>
  <c r="P74" i="15"/>
  <c r="S73" i="15"/>
  <c r="P73" i="15"/>
  <c r="T71" i="15"/>
  <c r="S71" i="15"/>
  <c r="P71" i="15"/>
  <c r="I25" i="15"/>
  <c r="B24" i="15"/>
  <c r="E20" i="15"/>
  <c r="E19" i="15"/>
  <c r="E18" i="15"/>
  <c r="E13" i="15"/>
  <c r="E12" i="15"/>
  <c r="E11" i="15"/>
  <c r="E33" i="17"/>
  <c r="E32" i="17"/>
  <c r="E31" i="17"/>
  <c r="E25" i="17"/>
  <c r="E24" i="17"/>
  <c r="K8" i="17"/>
  <c r="L8" i="17"/>
  <c r="F24" i="17"/>
  <c r="F25" i="17"/>
  <c r="AC73" i="17"/>
  <c r="J17" i="17"/>
  <c r="H43" i="17"/>
  <c r="K9" i="17"/>
  <c r="L9" i="17" s="1"/>
  <c r="F31" i="17"/>
  <c r="F33" i="17"/>
  <c r="J43" i="17"/>
  <c r="I9" i="18"/>
  <c r="E18" i="14"/>
  <c r="M9" i="17"/>
  <c r="Z72" i="17"/>
  <c r="AC72" i="17"/>
  <c r="AD72" i="17"/>
  <c r="Z73" i="17"/>
  <c r="AD73" i="17"/>
  <c r="Z74" i="17"/>
  <c r="AC74" i="17"/>
  <c r="AD74" i="17"/>
  <c r="Z75" i="17"/>
  <c r="AC75" i="17"/>
  <c r="AD75" i="17"/>
  <c r="Z76" i="17"/>
  <c r="AC76" i="17"/>
  <c r="AD76" i="17"/>
  <c r="Z77" i="17"/>
  <c r="AC77" i="17"/>
  <c r="AD77" i="17"/>
  <c r="Z78" i="17"/>
  <c r="AC78" i="17"/>
  <c r="AD78" i="17"/>
  <c r="Z79" i="17"/>
  <c r="AC79" i="17"/>
  <c r="AD79" i="17"/>
  <c r="Z80" i="17"/>
  <c r="AC80" i="17"/>
  <c r="AD80" i="17"/>
  <c r="Z81" i="17"/>
  <c r="AC81" i="17"/>
  <c r="AD81" i="17"/>
  <c r="Z82" i="17"/>
  <c r="AC82" i="17"/>
  <c r="AD82" i="17"/>
  <c r="Z83" i="17"/>
  <c r="AC83" i="17"/>
  <c r="AD83" i="17"/>
  <c r="Z84" i="17"/>
  <c r="AC84" i="17"/>
  <c r="AD84" i="17"/>
  <c r="Z85" i="17"/>
  <c r="AC85" i="17"/>
  <c r="AD85" i="17"/>
  <c r="Z86" i="17"/>
  <c r="AC86" i="17"/>
  <c r="AD86" i="17"/>
  <c r="Z87" i="17"/>
  <c r="AC87" i="17"/>
  <c r="AD87" i="17"/>
  <c r="Z88" i="17"/>
  <c r="AC88" i="17"/>
  <c r="AD88" i="17"/>
  <c r="Z89" i="17"/>
  <c r="AC89" i="17"/>
  <c r="AD89" i="17"/>
  <c r="Z90" i="17"/>
  <c r="AC90" i="17"/>
  <c r="AD90" i="17"/>
  <c r="Z91" i="17"/>
  <c r="AC91" i="17"/>
  <c r="AD91" i="17"/>
  <c r="Z92" i="17"/>
  <c r="AC92" i="17"/>
  <c r="AD92" i="17"/>
  <c r="Z93" i="17"/>
  <c r="AC93" i="17"/>
  <c r="AD93" i="17"/>
  <c r="Z94" i="17"/>
  <c r="AC94" i="17"/>
  <c r="AD94" i="17"/>
  <c r="Z95" i="17"/>
  <c r="AC95" i="17"/>
  <c r="AD95" i="17"/>
  <c r="Z96" i="17"/>
  <c r="AC96" i="17"/>
  <c r="AD96" i="17"/>
  <c r="Z97" i="17"/>
  <c r="AC97" i="17"/>
  <c r="AD97" i="17"/>
  <c r="Z98" i="17"/>
  <c r="AC98" i="17"/>
  <c r="AD98" i="17"/>
  <c r="Z99" i="17"/>
  <c r="AC99" i="17"/>
  <c r="AD99" i="17"/>
  <c r="Z100" i="17"/>
  <c r="AC100" i="17"/>
  <c r="AD100" i="17"/>
  <c r="Z101" i="17"/>
  <c r="AC101" i="17"/>
  <c r="AD101" i="17"/>
  <c r="Z102" i="17"/>
  <c r="AC102" i="17"/>
  <c r="AD102" i="17"/>
  <c r="Z103" i="17"/>
  <c r="AC103" i="17"/>
  <c r="AD103" i="17"/>
  <c r="Z104" i="17"/>
  <c r="AC104" i="17"/>
  <c r="AD104" i="17"/>
  <c r="Z105" i="17"/>
  <c r="AC105" i="17"/>
  <c r="AD105" i="17"/>
  <c r="Z106" i="17"/>
  <c r="AC106" i="17"/>
  <c r="AD106" i="17"/>
  <c r="Z107" i="17"/>
  <c r="AC107" i="17"/>
  <c r="AD107" i="17"/>
  <c r="Z108" i="17"/>
  <c r="AC108" i="17"/>
  <c r="AD108" i="17"/>
  <c r="Z109" i="17"/>
  <c r="AC109" i="17"/>
  <c r="AD109" i="17"/>
  <c r="Z110" i="17"/>
  <c r="AC110" i="17"/>
  <c r="AD110" i="17"/>
  <c r="Z111" i="17"/>
  <c r="AC111" i="17"/>
  <c r="AD111" i="17"/>
  <c r="Z71" i="17"/>
  <c r="B36" i="10"/>
  <c r="B31" i="10"/>
  <c r="B30" i="10"/>
  <c r="B29" i="10"/>
  <c r="I28" i="10"/>
  <c r="B28" i="10"/>
  <c r="B24" i="10"/>
  <c r="C23" i="10"/>
  <c r="C22" i="10"/>
  <c r="B21" i="10"/>
  <c r="H52" i="17"/>
  <c r="J8" i="18"/>
  <c r="P72" i="18"/>
  <c r="J9" i="18"/>
  <c r="J21" i="18"/>
  <c r="I21" i="18"/>
  <c r="E17" i="18"/>
  <c r="F32" i="17"/>
  <c r="G33" i="17"/>
  <c r="G32" i="17"/>
  <c r="G31" i="17"/>
  <c r="G24" i="17"/>
  <c r="G25" i="17"/>
  <c r="G23" i="17"/>
  <c r="L7" i="17"/>
  <c r="AD69" i="17"/>
  <c r="Z69" i="17"/>
  <c r="AC69" i="17"/>
  <c r="F28" i="10"/>
  <c r="H28" i="10" s="1"/>
  <c r="D22" i="16"/>
  <c r="D14" i="16"/>
  <c r="H24" i="12" l="1"/>
  <c r="J21" i="15"/>
  <c r="E30" i="15" s="1"/>
  <c r="I15" i="16"/>
  <c r="G40" i="19"/>
  <c r="M40" i="19" s="1"/>
  <c r="M43" i="19" s="1"/>
  <c r="J19" i="12"/>
  <c r="G59" i="12" s="1"/>
  <c r="J26" i="18"/>
  <c r="H31" i="18" s="1"/>
  <c r="M39" i="19"/>
  <c r="D23" i="19"/>
  <c r="D72" i="19" s="1"/>
  <c r="G39" i="19"/>
  <c r="J14" i="15"/>
  <c r="E18" i="12"/>
  <c r="I14" i="17"/>
  <c r="J14" i="17" s="1"/>
  <c r="J18" i="17" s="1"/>
  <c r="E25" i="18"/>
  <c r="H14" i="21"/>
  <c r="H59" i="12" l="1"/>
  <c r="F27" i="10"/>
  <c r="H27" i="10" s="1"/>
  <c r="H50" i="17"/>
  <c r="G48" i="17"/>
  <c r="F22" i="10" s="1"/>
  <c r="G50" i="17"/>
  <c r="F23" i="10" s="1"/>
  <c r="H23" i="10" s="1"/>
  <c r="H48" i="17"/>
  <c r="G57" i="12"/>
  <c r="G31" i="18"/>
  <c r="F30" i="10" s="1"/>
  <c r="H30" i="10" s="1"/>
  <c r="C30" i="15"/>
  <c r="F37" i="10" s="1"/>
  <c r="H37" i="10" s="1"/>
  <c r="G55" i="12"/>
  <c r="F31" i="21"/>
  <c r="H31" i="21" s="1"/>
  <c r="C38" i="16"/>
  <c r="F35" i="10" s="1"/>
  <c r="C37" i="16"/>
  <c r="F34" i="10" s="1"/>
  <c r="C35" i="16"/>
  <c r="C36" i="16"/>
  <c r="F33" i="10" s="1"/>
  <c r="F35" i="16"/>
  <c r="F30" i="21"/>
  <c r="H30" i="21" s="1"/>
  <c r="F29" i="21"/>
  <c r="H29" i="21" s="1"/>
  <c r="F28" i="21"/>
  <c r="H28" i="21" s="1"/>
  <c r="F35" i="21"/>
  <c r="F36" i="21" l="1"/>
  <c r="F25" i="10"/>
  <c r="H55" i="12"/>
  <c r="H57" i="12"/>
  <c r="F26" i="10"/>
  <c r="F24" i="21"/>
  <c r="H24" i="21" s="1"/>
  <c r="H22" i="10"/>
  <c r="F38" i="10"/>
  <c r="F38" i="21"/>
  <c r="H38" i="21" s="1"/>
  <c r="F34" i="21"/>
  <c r="F23" i="21"/>
  <c r="H23" i="21" s="1"/>
  <c r="F32" i="10"/>
  <c r="C39" i="16"/>
  <c r="H26" i="10" l="1"/>
  <c r="F27" i="21"/>
  <c r="H27" i="21" s="1"/>
  <c r="H25" i="10"/>
  <c r="F26" i="21"/>
  <c r="C68" i="19"/>
  <c r="G32" i="10" s="1"/>
  <c r="C71" i="19"/>
  <c r="G35" i="10" s="1"/>
  <c r="D24" i="19"/>
  <c r="C69" i="19"/>
  <c r="G33" i="10" s="1"/>
  <c r="C70" i="19"/>
  <c r="G34" i="10" s="1"/>
  <c r="D63" i="19"/>
  <c r="F33" i="21"/>
  <c r="G35" i="21" l="1"/>
  <c r="H35" i="21" s="1"/>
  <c r="H34" i="10"/>
  <c r="G38" i="10"/>
  <c r="G33" i="21"/>
  <c r="H33" i="21" s="1"/>
  <c r="G36" i="21"/>
  <c r="H36" i="21" s="1"/>
  <c r="H35" i="10"/>
  <c r="H32" i="10"/>
  <c r="H38" i="10" s="1"/>
  <c r="G34" i="21"/>
  <c r="H34" i="21" s="1"/>
  <c r="H33" i="10"/>
  <c r="H26" i="21"/>
  <c r="F39" i="21"/>
  <c r="C72" i="19"/>
  <c r="G39" i="21" l="1"/>
  <c r="H39" i="21"/>
</calcChain>
</file>

<file path=xl/sharedStrings.xml><?xml version="1.0" encoding="utf-8"?>
<sst xmlns="http://schemas.openxmlformats.org/spreadsheetml/2006/main" count="1927" uniqueCount="646">
  <si>
    <t>2a. Applicable Index for 'works'</t>
  </si>
  <si>
    <t>(i) Amended  on Summary :  '2a Aplicable index' will apply to 'works' only  (ii) on Summary RBCI removed from 'Land'  and CPI applied  (iii) Inflationary adjustments for Dec 2011</t>
  </si>
  <si>
    <t>2. Each policy is represented by a spreadsheet, which contains all equivalency and charge rate data relevant to that infrastructure.</t>
  </si>
  <si>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</si>
  <si>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</si>
  <si>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</si>
  <si>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</si>
  <si>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</si>
  <si>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</si>
  <si>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</si>
  <si>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</si>
  <si>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</si>
  <si>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</si>
  <si>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</si>
  <si>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t>Traditional Residential</t>
  </si>
  <si>
    <t>Mixed Residential</t>
  </si>
  <si>
    <t>Precinct</t>
  </si>
  <si>
    <t>Unit</t>
  </si>
  <si>
    <t>Lot</t>
  </si>
  <si>
    <t>Ha</t>
  </si>
  <si>
    <t>FPA</t>
  </si>
  <si>
    <t>Other</t>
  </si>
  <si>
    <t>Restaurant</t>
  </si>
  <si>
    <t>Medical Centre</t>
  </si>
  <si>
    <t>Motel</t>
  </si>
  <si>
    <t>dwelling unit</t>
  </si>
  <si>
    <t>General Industry</t>
  </si>
  <si>
    <t>Educational Establishment</t>
  </si>
  <si>
    <t>Charge Catchment</t>
  </si>
  <si>
    <t>Date</t>
  </si>
  <si>
    <t>Development Type</t>
  </si>
  <si>
    <t>Recongfiguration of Lot</t>
  </si>
  <si>
    <t>Type</t>
  </si>
  <si>
    <t>Qty</t>
  </si>
  <si>
    <t>Units</t>
  </si>
  <si>
    <t xml:space="preserve"> </t>
  </si>
  <si>
    <t>Sub-total</t>
  </si>
  <si>
    <t>2.</t>
  </si>
  <si>
    <t>3.</t>
  </si>
  <si>
    <t>4.</t>
  </si>
  <si>
    <t>5.</t>
  </si>
  <si>
    <t>Base Rate</t>
  </si>
  <si>
    <t>Reference Data - Do not delete</t>
  </si>
  <si>
    <t>Working Table</t>
  </si>
  <si>
    <t>1.</t>
  </si>
  <si>
    <t>Use</t>
  </si>
  <si>
    <t>$/EP</t>
  </si>
  <si>
    <t>Developer Contribution Calculator</t>
  </si>
  <si>
    <t>Welcome to the:</t>
  </si>
  <si>
    <t>1. This spreadsheet automates the calculation of developer contributions, to make life easier and consistent for development assessment staff.</t>
  </si>
  <si>
    <t>3. The user is required to input data particular to the development in each spreadsheet - protection has been applied to non-input data cells.</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</si>
  <si>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</si>
  <si>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</si>
  <si>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</si>
  <si>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</si>
  <si>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</si>
  <si>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</si>
  <si>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</si>
  <si>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</si>
  <si>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</si>
  <si>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</si>
  <si>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</si>
  <si>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</si>
  <si>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</si>
  <si>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</si>
  <si>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</si>
  <si>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</si>
  <si>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</si>
  <si>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</si>
  <si>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</si>
  <si>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</si>
  <si>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</si>
  <si>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</si>
  <si>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</si>
  <si>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</si>
  <si>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</si>
  <si>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</si>
  <si>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</si>
  <si>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</si>
  <si>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</si>
  <si>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</si>
  <si>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</si>
  <si>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</si>
  <si>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</si>
  <si>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</si>
  <si>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</si>
  <si>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</si>
  <si>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</si>
  <si>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Item</t>
  </si>
  <si>
    <t>On-site car parking shortfall</t>
  </si>
  <si>
    <t>Developer Contribution Rate</t>
  </si>
  <si>
    <t>spaces</t>
  </si>
  <si>
    <t>$/space</t>
  </si>
  <si>
    <t>lots</t>
  </si>
  <si>
    <t>$/lot</t>
  </si>
  <si>
    <t>Caretaker's Residence</t>
  </si>
  <si>
    <t>Hotel</t>
  </si>
  <si>
    <t>Equivalencies - ROL</t>
  </si>
  <si>
    <t>Equivalencies for previous rezoning</t>
  </si>
  <si>
    <t>Equivalencies - MCU</t>
  </si>
  <si>
    <t>Adjust. factor</t>
  </si>
  <si>
    <t>Indexed Rate</t>
  </si>
  <si>
    <t>No. of additional lots/units</t>
  </si>
  <si>
    <t>Thuringowa City</t>
  </si>
  <si>
    <t>Applicable to the planning scheme policies for the City of Thuringowa planning scheme</t>
  </si>
  <si>
    <t>CPI</t>
  </si>
  <si>
    <t>Treatment plants &amp; outfalls</t>
  </si>
  <si>
    <t>Residential 'A'</t>
  </si>
  <si>
    <t>Residential 'B'</t>
  </si>
  <si>
    <t>Residential 'C'</t>
  </si>
  <si>
    <t>SU/unit</t>
  </si>
  <si>
    <t>Club Open Space</t>
  </si>
  <si>
    <t>Park and Open Space</t>
  </si>
  <si>
    <t>Light Industry</t>
  </si>
  <si>
    <t>Noxious and Hazardous</t>
  </si>
  <si>
    <t>Local Shopping</t>
  </si>
  <si>
    <t>Commercial</t>
  </si>
  <si>
    <t>Hotel and Tavern</t>
  </si>
  <si>
    <t>Village Shopping</t>
  </si>
  <si>
    <t>Public Purposes</t>
  </si>
  <si>
    <t>Special Facilities</t>
  </si>
  <si>
    <t>Future Urban</t>
  </si>
  <si>
    <r>
      <t xml:space="preserve">General Industry (Lots </t>
    </r>
    <r>
      <rPr>
        <sz val="10"/>
        <rFont val="Arial"/>
        <family val="2"/>
      </rPr>
      <t>≥</t>
    </r>
    <r>
      <rPr>
        <sz val="10"/>
        <rFont val="Arial"/>
        <family val="2"/>
      </rPr>
      <t>2,700m</t>
    </r>
    <r>
      <rPr>
        <sz val="10"/>
        <rFont val="Arial"/>
        <family val="2"/>
      </rPr>
      <t>²</t>
    </r>
    <r>
      <rPr>
        <sz val="10"/>
        <rFont val="Arial"/>
        <family val="2"/>
      </rPr>
      <t>)</t>
    </r>
  </si>
  <si>
    <r>
      <t>General Industry (Lots &lt;2,700m</t>
    </r>
    <r>
      <rPr>
        <sz val="10"/>
        <rFont val="Arial"/>
        <family val="2"/>
      </rPr>
      <t>²</t>
    </r>
    <r>
      <rPr>
        <sz val="10"/>
        <rFont val="Arial"/>
        <family val="2"/>
      </rPr>
      <t>)</t>
    </r>
  </si>
  <si>
    <r>
      <t xml:space="preserve">Light Industry (Lots </t>
    </r>
    <r>
      <rPr>
        <sz val="10"/>
        <rFont val="Arial"/>
        <family val="2"/>
      </rPr>
      <t>≥</t>
    </r>
    <r>
      <rPr>
        <sz val="10"/>
        <rFont val="Arial"/>
        <family val="2"/>
      </rPr>
      <t>2,700m</t>
    </r>
    <r>
      <rPr>
        <sz val="10"/>
        <rFont val="Arial"/>
        <family val="2"/>
      </rPr>
      <t>²</t>
    </r>
    <r>
      <rPr>
        <sz val="10"/>
        <rFont val="Arial"/>
        <family val="2"/>
      </rPr>
      <t>)</t>
    </r>
  </si>
  <si>
    <r>
      <t>Light Industry (Lots &lt;2,700m</t>
    </r>
    <r>
      <rPr>
        <sz val="10"/>
        <rFont val="Arial"/>
        <family val="2"/>
      </rPr>
      <t>²</t>
    </r>
    <r>
      <rPr>
        <sz val="10"/>
        <rFont val="Arial"/>
        <family val="2"/>
      </rPr>
      <t>)</t>
    </r>
  </si>
  <si>
    <r>
      <t>Noxious and Hazardous (Lots &lt;2,700m</t>
    </r>
    <r>
      <rPr>
        <sz val="10"/>
        <rFont val="Arial"/>
        <family val="2"/>
      </rPr>
      <t>²</t>
    </r>
    <r>
      <rPr>
        <sz val="10"/>
        <rFont val="Arial"/>
        <family val="2"/>
      </rPr>
      <t>)</t>
    </r>
  </si>
  <si>
    <r>
      <t xml:space="preserve">Noxious and Hazardous (Lots </t>
    </r>
    <r>
      <rPr>
        <sz val="10"/>
        <rFont val="Arial"/>
        <family val="2"/>
      </rPr>
      <t>≥</t>
    </r>
    <r>
      <rPr>
        <sz val="10"/>
        <rFont val="Arial"/>
        <family val="2"/>
      </rPr>
      <t>2,700m</t>
    </r>
    <r>
      <rPr>
        <sz val="10"/>
        <rFont val="Arial"/>
        <family val="2"/>
      </rPr>
      <t>²</t>
    </r>
    <r>
      <rPr>
        <sz val="10"/>
        <rFont val="Arial"/>
        <family val="2"/>
      </rPr>
      <t>)</t>
    </r>
  </si>
  <si>
    <r>
      <t>Local Shopping (Lots &lt;2,700m</t>
    </r>
    <r>
      <rPr>
        <sz val="10"/>
        <rFont val="Arial"/>
        <family val="2"/>
      </rPr>
      <t>²</t>
    </r>
    <r>
      <rPr>
        <sz val="10"/>
        <rFont val="Arial"/>
        <family val="2"/>
      </rPr>
      <t>)</t>
    </r>
  </si>
  <si>
    <r>
      <t xml:space="preserve">Local Shopping (Lots </t>
    </r>
    <r>
      <rPr>
        <sz val="10"/>
        <rFont val="Arial"/>
        <family val="2"/>
      </rPr>
      <t>≥</t>
    </r>
    <r>
      <rPr>
        <sz val="10"/>
        <rFont val="Arial"/>
        <family val="2"/>
      </rPr>
      <t>2,700m</t>
    </r>
    <r>
      <rPr>
        <sz val="10"/>
        <rFont val="Arial"/>
        <family val="2"/>
      </rPr>
      <t>²</t>
    </r>
    <r>
      <rPr>
        <sz val="10"/>
        <rFont val="Arial"/>
        <family val="2"/>
      </rPr>
      <t>)</t>
    </r>
  </si>
  <si>
    <r>
      <t>Commercial (Lots &lt;2,700m</t>
    </r>
    <r>
      <rPr>
        <sz val="10"/>
        <rFont val="Arial"/>
        <family val="2"/>
      </rPr>
      <t>²</t>
    </r>
    <r>
      <rPr>
        <sz val="10"/>
        <rFont val="Arial"/>
        <family val="2"/>
      </rPr>
      <t>)</t>
    </r>
  </si>
  <si>
    <r>
      <t xml:space="preserve">Commercial (Lots </t>
    </r>
    <r>
      <rPr>
        <sz val="10"/>
        <rFont val="Arial"/>
        <family val="2"/>
      </rPr>
      <t>≥</t>
    </r>
    <r>
      <rPr>
        <sz val="10"/>
        <rFont val="Arial"/>
        <family val="2"/>
      </rPr>
      <t>2,700m</t>
    </r>
    <r>
      <rPr>
        <sz val="10"/>
        <rFont val="Arial"/>
        <family val="2"/>
      </rPr>
      <t>²</t>
    </r>
    <r>
      <rPr>
        <sz val="10"/>
        <rFont val="Arial"/>
        <family val="2"/>
      </rPr>
      <t>)</t>
    </r>
  </si>
  <si>
    <r>
      <t>Hotel and Tavern (Lots &lt;2,700m</t>
    </r>
    <r>
      <rPr>
        <sz val="10"/>
        <rFont val="Arial"/>
        <family val="2"/>
      </rPr>
      <t>²</t>
    </r>
    <r>
      <rPr>
        <sz val="10"/>
        <rFont val="Arial"/>
        <family val="2"/>
      </rPr>
      <t>)</t>
    </r>
  </si>
  <si>
    <r>
      <t xml:space="preserve">Hotel and Tavern (Lots </t>
    </r>
    <r>
      <rPr>
        <sz val="10"/>
        <rFont val="Arial"/>
        <family val="2"/>
      </rPr>
      <t>≥</t>
    </r>
    <r>
      <rPr>
        <sz val="10"/>
        <rFont val="Arial"/>
        <family val="2"/>
      </rPr>
      <t>2,700m</t>
    </r>
    <r>
      <rPr>
        <sz val="10"/>
        <rFont val="Arial"/>
        <family val="2"/>
      </rPr>
      <t>²</t>
    </r>
    <r>
      <rPr>
        <sz val="10"/>
        <rFont val="Arial"/>
        <family val="2"/>
      </rPr>
      <t>)</t>
    </r>
  </si>
  <si>
    <r>
      <t>Village Shopping (Lots &lt;2,700m</t>
    </r>
    <r>
      <rPr>
        <sz val="10"/>
        <rFont val="Arial"/>
        <family val="2"/>
      </rPr>
      <t>²</t>
    </r>
    <r>
      <rPr>
        <sz val="10"/>
        <rFont val="Arial"/>
        <family val="2"/>
      </rPr>
      <t>)</t>
    </r>
  </si>
  <si>
    <r>
      <t xml:space="preserve">Village Shopping (Lots </t>
    </r>
    <r>
      <rPr>
        <sz val="10"/>
        <rFont val="Arial"/>
        <family val="2"/>
      </rPr>
      <t>≥</t>
    </r>
    <r>
      <rPr>
        <sz val="10"/>
        <rFont val="Arial"/>
        <family val="2"/>
      </rPr>
      <t>2,700m</t>
    </r>
    <r>
      <rPr>
        <sz val="10"/>
        <rFont val="Arial"/>
        <family val="2"/>
      </rPr>
      <t>²</t>
    </r>
    <r>
      <rPr>
        <sz val="10"/>
        <rFont val="Arial"/>
        <family val="2"/>
      </rPr>
      <t>)</t>
    </r>
  </si>
  <si>
    <t>Defined Use</t>
  </si>
  <si>
    <t>Agriculture</t>
  </si>
  <si>
    <t>Animal Husbandry</t>
  </si>
  <si>
    <t>Aquiculture</t>
  </si>
  <si>
    <t>Caravan Park (van bay)</t>
  </si>
  <si>
    <t>Caravan Park (camp site)</t>
  </si>
  <si>
    <t>Caterer's Rooms</t>
  </si>
  <si>
    <t>Child Care Center</t>
  </si>
  <si>
    <t>Display Home</t>
  </si>
  <si>
    <t>Domestic Horitculture</t>
  </si>
  <si>
    <t>Duplex Dwelling</t>
  </si>
  <si>
    <t>Dwelling House</t>
  </si>
  <si>
    <t>Extractive Industry</t>
  </si>
  <si>
    <t xml:space="preserve">Hospital </t>
  </si>
  <si>
    <t>Indoor Entertainment</t>
  </si>
  <si>
    <t>Institution</t>
  </si>
  <si>
    <t>Junkyard</t>
  </si>
  <si>
    <t>Kennels</t>
  </si>
  <si>
    <t>Local Services</t>
  </si>
  <si>
    <t>Local Store</t>
  </si>
  <si>
    <t>Liquid Fuel Depot</t>
  </si>
  <si>
    <t>Machinery Showroom</t>
  </si>
  <si>
    <t>Meeting Rooms</t>
  </si>
  <si>
    <t>Offices</t>
  </si>
  <si>
    <t>Open Air Displays</t>
  </si>
  <si>
    <t>Outdoor Entertainment</t>
  </si>
  <si>
    <t>Parking Area</t>
  </si>
  <si>
    <t>Passenger Terminal</t>
  </si>
  <si>
    <t>bed</t>
  </si>
  <si>
    <t>Accomodation units</t>
  </si>
  <si>
    <t>10 + 3/bed</t>
  </si>
  <si>
    <r>
      <t>Bulk Store &gt; 300m</t>
    </r>
    <r>
      <rPr>
        <sz val="10"/>
        <rFont val="Arial"/>
        <family val="2"/>
      </rPr>
      <t>²</t>
    </r>
    <r>
      <rPr>
        <sz val="10"/>
        <rFont val="Arial"/>
        <family val="2"/>
      </rPr>
      <t xml:space="preserve"> roofed floor area</t>
    </r>
  </si>
  <si>
    <r>
      <t>Bulk Store (150m</t>
    </r>
    <r>
      <rPr>
        <sz val="10"/>
        <rFont val="Arial"/>
        <family val="2"/>
      </rPr>
      <t>²</t>
    </r>
    <r>
      <rPr>
        <sz val="10"/>
        <rFont val="Arial"/>
        <family val="2"/>
      </rPr>
      <t xml:space="preserve"> - 300m² roofed floor area)</t>
    </r>
  </si>
  <si>
    <t>store</t>
  </si>
  <si>
    <r>
      <t>Bulk Store &lt; 150m</t>
    </r>
    <r>
      <rPr>
        <sz val="10"/>
        <rFont val="Arial"/>
        <family val="2"/>
      </rPr>
      <t>²</t>
    </r>
    <r>
      <rPr>
        <sz val="10"/>
        <rFont val="Arial"/>
        <family val="2"/>
      </rPr>
      <t xml:space="preserve"> roofed floor area</t>
    </r>
  </si>
  <si>
    <t>bay</t>
  </si>
  <si>
    <t>camp site</t>
  </si>
  <si>
    <t>residential unit</t>
  </si>
  <si>
    <t>home</t>
  </si>
  <si>
    <t>duplex dwelling</t>
  </si>
  <si>
    <t>dwelling</t>
  </si>
  <si>
    <t>motel unit</t>
  </si>
  <si>
    <t>Multiple Dwellings</t>
  </si>
  <si>
    <t>units</t>
  </si>
  <si>
    <t>2.5 + 7.5/unit</t>
  </si>
  <si>
    <r>
      <t>15 + 1.25/150m</t>
    </r>
    <r>
      <rPr>
        <sz val="10"/>
        <rFont val="Arial"/>
        <family val="2"/>
      </rPr>
      <t>²</t>
    </r>
  </si>
  <si>
    <t>pedestal</t>
  </si>
  <si>
    <t>1,200mm of urinal</t>
  </si>
  <si>
    <t>10 (MIN 20)</t>
  </si>
  <si>
    <t>Fixture Unit Ratings - OBSOLETE FOR COT</t>
  </si>
  <si>
    <t>SU's</t>
  </si>
  <si>
    <t>Place of Public Worship (Pedestals)</t>
  </si>
  <si>
    <t>Place of Public Worship (Urinals)</t>
  </si>
  <si>
    <t>Rate</t>
  </si>
  <si>
    <t>Trunk sewers &amp; pump. systems (Rs)</t>
  </si>
  <si>
    <t>Treatment plants &amp; outfalls (Rt)</t>
  </si>
  <si>
    <t>$/SU</t>
  </si>
  <si>
    <t>City of Thuringowa</t>
  </si>
  <si>
    <t>Amount ($)</t>
  </si>
  <si>
    <t>Current Equivalent</t>
  </si>
  <si>
    <t>(No credit given for existing lawful use unless previous contributions paid)</t>
  </si>
  <si>
    <t>SUC's</t>
  </si>
  <si>
    <t>Recongfiguration of Lot (Subdivision)</t>
  </si>
  <si>
    <t>Material Change of Use (Consent)</t>
  </si>
  <si>
    <t>Development</t>
  </si>
  <si>
    <t>Trunk sewers &amp; pump. Systems</t>
  </si>
  <si>
    <t>Place of Public Worship</t>
  </si>
  <si>
    <t>Poultry Farm</t>
  </si>
  <si>
    <t>Vehicle Showroom</t>
  </si>
  <si>
    <t>Veterinary Clinic</t>
  </si>
  <si>
    <t>Veterinary Hospital</t>
  </si>
  <si>
    <r>
      <t>Warehouse &lt; 150m</t>
    </r>
    <r>
      <rPr>
        <sz val="10"/>
        <rFont val="Arial"/>
        <family val="2"/>
      </rPr>
      <t>²</t>
    </r>
    <r>
      <rPr>
        <sz val="10"/>
        <rFont val="Arial"/>
        <family val="2"/>
      </rPr>
      <t xml:space="preserve"> roofed floor area</t>
    </r>
  </si>
  <si>
    <r>
      <t>Warehouse (150m</t>
    </r>
    <r>
      <rPr>
        <sz val="10"/>
        <rFont val="Arial"/>
        <family val="2"/>
      </rPr>
      <t>²</t>
    </r>
    <r>
      <rPr>
        <sz val="10"/>
        <rFont val="Arial"/>
        <family val="2"/>
      </rPr>
      <t xml:space="preserve"> - 300m² roofed floor area)</t>
    </r>
  </si>
  <si>
    <r>
      <t>Warehouse &gt; 300m</t>
    </r>
    <r>
      <rPr>
        <sz val="10"/>
        <rFont val="Arial"/>
        <family val="2"/>
      </rPr>
      <t>²</t>
    </r>
    <r>
      <rPr>
        <sz val="10"/>
        <rFont val="Arial"/>
        <family val="2"/>
      </rPr>
      <t xml:space="preserve"> roofed floor area</t>
    </r>
  </si>
  <si>
    <t>Developer contributions towards the cost of water supply headworks</t>
  </si>
  <si>
    <t>Developer contributions towards the cost of sewer headworks</t>
  </si>
  <si>
    <r>
      <t xml:space="preserve">Developer Contribution Rate </t>
    </r>
    <r>
      <rPr>
        <sz val="10"/>
        <rFont val="Arial"/>
        <family val="2"/>
      </rPr>
      <t>(Policy attachment A6)</t>
    </r>
  </si>
  <si>
    <r>
      <t xml:space="preserve">WUCr = Credit for Reservoirs </t>
    </r>
    <r>
      <rPr>
        <sz val="10"/>
        <rFont val="Arial"/>
        <family val="2"/>
      </rPr>
      <t>(Policy s12(2))</t>
    </r>
  </si>
  <si>
    <r>
      <t xml:space="preserve">SU = Demand </t>
    </r>
    <r>
      <rPr>
        <sz val="10"/>
        <rFont val="Arial"/>
        <family val="2"/>
      </rPr>
      <t>(Policy attachment B2)</t>
    </r>
  </si>
  <si>
    <r>
      <t>SUCs = Credit for sewer mains and pumping systems</t>
    </r>
    <r>
      <rPr>
        <sz val="10"/>
        <rFont val="Arial"/>
        <family val="2"/>
      </rPr>
      <t xml:space="preserve"> (Policy s11(2))</t>
    </r>
  </si>
  <si>
    <r>
      <t>SUCt = Credit for treatment plants &amp; outfalls</t>
    </r>
    <r>
      <rPr>
        <sz val="10"/>
        <rFont val="Arial"/>
        <family val="2"/>
      </rPr>
      <t xml:space="preserve"> (Policy s11(2))</t>
    </r>
  </si>
  <si>
    <r>
      <t xml:space="preserve">SUCc = Credit for Previous Contributions </t>
    </r>
    <r>
      <rPr>
        <sz val="10"/>
        <rFont val="Arial"/>
        <family val="2"/>
      </rPr>
      <t>(Policy s11(3))</t>
    </r>
  </si>
  <si>
    <t>Contributions towards the cost of the provision of off-street car parking spaces</t>
  </si>
  <si>
    <r>
      <t xml:space="preserve">Developer Contribution Rate </t>
    </r>
    <r>
      <rPr>
        <sz val="10"/>
        <rFont val="Arial"/>
        <family val="2"/>
      </rPr>
      <t>(Policy s2)</t>
    </r>
  </si>
  <si>
    <t>Sub-regional centre (Policy map 3.3A)</t>
  </si>
  <si>
    <t>ED = Demand</t>
  </si>
  <si>
    <t>PC = Existing Lawful Use</t>
  </si>
  <si>
    <t>Mixed Use - Low Impact Residential, Tourist</t>
  </si>
  <si>
    <t>Mixed Use - Low Impact Residential,</t>
  </si>
  <si>
    <t>RESIDENTIAL PLANNING AREA</t>
  </si>
  <si>
    <t>TDU/unit</t>
  </si>
  <si>
    <t>Park Residential</t>
  </si>
  <si>
    <t>BALGAL BEACH, MYSTIC SANDS &amp; ROLLINGSTONE</t>
  </si>
  <si>
    <t>Residential</t>
  </si>
  <si>
    <t>Large Lot Residential</t>
  </si>
  <si>
    <t>Future Residential</t>
  </si>
  <si>
    <t>TOOMULLA</t>
  </si>
  <si>
    <t>TOOLAKEA</t>
  </si>
  <si>
    <t>SAUNDERS BEACH</t>
  </si>
  <si>
    <t>PALUMA</t>
  </si>
  <si>
    <t>RIVERWAY (PIONEER PARK)</t>
  </si>
  <si>
    <t>Mixed Use - Low impact Tourism</t>
  </si>
  <si>
    <t>Constrained Land – Limited Low Impact Residential</t>
  </si>
  <si>
    <t>Mixed Use - Commercial</t>
  </si>
  <si>
    <t>Mixed Use - Reside Education, Conference</t>
  </si>
  <si>
    <t>Consrained Land - Tourist</t>
  </si>
  <si>
    <t>Constrained Land - Commercial</t>
  </si>
  <si>
    <t>Mixed Use - Tourism</t>
  </si>
  <si>
    <t>Mixed Use - Tourst Accom (B/B)</t>
  </si>
  <si>
    <t>Mixed Use - Commercial Community Purposes</t>
  </si>
  <si>
    <t>Mixed Use - Sport &amp; Rec</t>
  </si>
  <si>
    <t>TDU's</t>
  </si>
  <si>
    <t>Village Sub-area (Residential)</t>
  </si>
  <si>
    <t>Residential East sub-area</t>
  </si>
  <si>
    <t>Residential West sub-area</t>
  </si>
  <si>
    <t>Warehouse</t>
  </si>
  <si>
    <t>Light and Service Industry</t>
  </si>
  <si>
    <t>Fast Food Store</t>
  </si>
  <si>
    <t>SUCs (SU)</t>
  </si>
  <si>
    <t>Public Garden and Recreation Space</t>
  </si>
  <si>
    <t>Thuringowa City (other than Rural zoning)</t>
  </si>
  <si>
    <t>Planning Scheme Policy for infrastructure contributions - stormwater and transport infrastructure (Stormwater)</t>
  </si>
  <si>
    <t>EDU/unit</t>
  </si>
  <si>
    <t>Material Change of Use</t>
  </si>
  <si>
    <r>
      <t xml:space="preserve">CR = Developer Contribution Rate </t>
    </r>
    <r>
      <rPr>
        <sz val="10"/>
        <rFont val="Arial"/>
        <family val="2"/>
      </rPr>
      <t>(Policy s10)</t>
    </r>
  </si>
  <si>
    <t>Developer Contributions</t>
  </si>
  <si>
    <t>Component</t>
  </si>
  <si>
    <t>Planning Scheme Policy for infrastructure contributions - stormwater and transport infrastructure (Pedestrians and Bikeways)</t>
  </si>
  <si>
    <t>DU's</t>
  </si>
  <si>
    <t>DU/unit</t>
  </si>
  <si>
    <t>TBP1 - Thuringowa</t>
  </si>
  <si>
    <t>$/DU</t>
  </si>
  <si>
    <t>Charge</t>
  </si>
  <si>
    <t>Trunk sewers &amp; pump systems (Hs)</t>
  </si>
  <si>
    <t>= Rs x (SU - SUCs - SUCc)</t>
  </si>
  <si>
    <t>Treatment plants &amp; outfalls (Ht)</t>
  </si>
  <si>
    <t>= Rt x (SU - Sut - SUCc)</t>
  </si>
  <si>
    <t>Developer Contribution</t>
  </si>
  <si>
    <t>In-lieu of offstreet car park space(s)</t>
  </si>
  <si>
    <t>Developer Contribution (TBIC)</t>
  </si>
  <si>
    <t>Pedestrian &amp; Bikeways (TBIC)</t>
  </si>
  <si>
    <t>= (ED - PC) x CR</t>
  </si>
  <si>
    <t>Details</t>
  </si>
  <si>
    <t>Address</t>
  </si>
  <si>
    <t>Description</t>
  </si>
  <si>
    <t>Development Application No.</t>
  </si>
  <si>
    <t>Name of Applicant</t>
  </si>
  <si>
    <t>Council Officer</t>
  </si>
  <si>
    <t>Calculation Date</t>
  </si>
  <si>
    <t>Outputs</t>
  </si>
  <si>
    <t>Indexation</t>
  </si>
  <si>
    <t>RBCI</t>
  </si>
  <si>
    <t>1. Fill out the application details in the 'Summary' worksheet, then proceed through the other worksheets which represent the relevant policies.</t>
  </si>
  <si>
    <t>At time of deciding a development application</t>
  </si>
  <si>
    <t>At time of payment</t>
  </si>
  <si>
    <t>Notes</t>
  </si>
  <si>
    <t>Quarter</t>
  </si>
  <si>
    <t>Value</t>
  </si>
  <si>
    <t>Jun '08</t>
  </si>
  <si>
    <t>(Last amended Sept '08)</t>
  </si>
  <si>
    <t>(Last amended Sept 08)</t>
  </si>
  <si>
    <t>Note - Base Rate &amp; RBCI set per policy, updated RBCI as per 'Summary'</t>
  </si>
  <si>
    <t>Sept '08</t>
  </si>
  <si>
    <t>(Last amended Sept '08))</t>
  </si>
  <si>
    <t>$/TDU</t>
  </si>
  <si>
    <t>Total of Charge Payable</t>
  </si>
  <si>
    <r>
      <t>Approved Value of Work</t>
    </r>
    <r>
      <rPr>
        <b/>
        <sz val="10"/>
        <rFont val="Cambria"/>
        <family val="1"/>
      </rPr>
      <t>¹</t>
    </r>
  </si>
  <si>
    <t>¹ balance of unclaimed credit if a staged development</t>
  </si>
  <si>
    <r>
      <t>Approved Value of Work</t>
    </r>
    <r>
      <rPr>
        <b/>
        <sz val="10"/>
        <rFont val="Cambria"/>
        <family val="1"/>
      </rPr>
      <t>²</t>
    </r>
  </si>
  <si>
    <t>²balance of unclaimed credit if a staged development</t>
  </si>
  <si>
    <t>³for the land subject of the development</t>
  </si>
  <si>
    <r>
      <t>No. of SU's Previously Paid</t>
    </r>
    <r>
      <rPr>
        <b/>
        <sz val="10"/>
        <rFont val="Cambria"/>
        <family val="1"/>
      </rPr>
      <t>³</t>
    </r>
  </si>
  <si>
    <t>Version</t>
  </si>
  <si>
    <t>Policies Effective from</t>
  </si>
  <si>
    <t>Changes made</t>
  </si>
  <si>
    <t>Date introduced</t>
  </si>
  <si>
    <t>P0100</t>
  </si>
  <si>
    <t>CON65</t>
  </si>
  <si>
    <t>CON70</t>
  </si>
  <si>
    <t>CON95</t>
  </si>
  <si>
    <t>CON100</t>
  </si>
  <si>
    <t>CON60</t>
  </si>
  <si>
    <t>CON25</t>
  </si>
  <si>
    <t>CON40</t>
  </si>
  <si>
    <t>Disclaimer</t>
  </si>
  <si>
    <t>This calculator is based on, but does not supercede the planning scheme policies for infrastructure. The currency, accuracy and validity of the calculations, including the underlying assumptions and interpretations of the policies are not garaunteed. In this respect, the user is referred to the actual planning scheme policies and provisions of the Integrated Planning Act 1997.</t>
  </si>
  <si>
    <t>CON90</t>
  </si>
  <si>
    <t>lot</t>
  </si>
  <si>
    <t>100m² RFA</t>
  </si>
  <si>
    <r>
      <t>RFA (m</t>
    </r>
    <r>
      <rPr>
        <sz val="10"/>
        <rFont val="Arial"/>
        <family val="2"/>
      </rPr>
      <t>²)</t>
    </r>
    <r>
      <rPr>
        <sz val="10"/>
        <rFont val="Arial"/>
        <family val="2"/>
      </rPr>
      <t xml:space="preserve"> </t>
    </r>
  </si>
  <si>
    <t>Jun '06</t>
  </si>
  <si>
    <t>Index</t>
  </si>
  <si>
    <t>(from 30/6/09)</t>
  </si>
  <si>
    <t>A = Demand</t>
  </si>
  <si>
    <t>EDU's</t>
  </si>
  <si>
    <t>B = Existing Lawful Use</t>
  </si>
  <si>
    <t>SWHR = Developer Contribution Rate</t>
  </si>
  <si>
    <t>$/EDU</t>
  </si>
  <si>
    <t>Developer Contribution Charge</t>
  </si>
  <si>
    <t>(A - B) x SWHR =</t>
  </si>
  <si>
    <t>Base Rates (2008)</t>
  </si>
  <si>
    <t>Location</t>
  </si>
  <si>
    <t>Reconfiguration Equivalencies</t>
  </si>
  <si>
    <t>MCU Equivalencies</t>
  </si>
  <si>
    <t>Precinct Type</t>
  </si>
  <si>
    <t>Land use</t>
  </si>
  <si>
    <t>Single dwelling unit</t>
  </si>
  <si>
    <t>Multiple dwelling units</t>
  </si>
  <si>
    <t>400m2 site area</t>
  </si>
  <si>
    <t>Retail</t>
  </si>
  <si>
    <t>Commercial or retail uses</t>
  </si>
  <si>
    <t>Industrial</t>
  </si>
  <si>
    <t>Industrial uses</t>
  </si>
  <si>
    <t>FA334, FA364 and FA280 chaning roads, water supply and stormwater.</t>
  </si>
  <si>
    <t>HR = Developer Contribution Rate</t>
  </si>
  <si>
    <t>TCC Works</t>
  </si>
  <si>
    <t>TCC Land</t>
  </si>
  <si>
    <t>SCR Works</t>
  </si>
  <si>
    <t>SCR Land</t>
  </si>
  <si>
    <t>Note - Base Rate, CPI &amp; RBCI set per policy, updated as per 'Summary'</t>
  </si>
  <si>
    <t>Developer Contribution Charge (RNH)</t>
  </si>
  <si>
    <t>(A - B) x HR =</t>
  </si>
  <si>
    <t>Reconfiguration of Lot</t>
  </si>
  <si>
    <t>Base Developer Contribution Rates (2006)</t>
  </si>
  <si>
    <t>TCC ($/TDU)</t>
  </si>
  <si>
    <t>SCR ($/TDU)</t>
  </si>
  <si>
    <t>Works</t>
  </si>
  <si>
    <t>Land</t>
  </si>
  <si>
    <t>ROL Equivalencies</t>
  </si>
  <si>
    <t>Accommodation Building</t>
  </si>
  <si>
    <t>room</t>
  </si>
  <si>
    <t>Bed and Breakfast</t>
  </si>
  <si>
    <t>unit</t>
  </si>
  <si>
    <t>lettable room</t>
  </si>
  <si>
    <t>Caravan Park - urban</t>
  </si>
  <si>
    <t>site</t>
  </si>
  <si>
    <t>Caravan Park - rural</t>
  </si>
  <si>
    <t>Caretaker's Residence &lt;120m2 GFA</t>
  </si>
  <si>
    <t>Caretaker's Residence &gt;120m2 GFA</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</si>
  <si>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</si>
  <si>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</si>
  <si>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</si>
  <si>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</si>
  <si>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</si>
  <si>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</si>
  <si>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</si>
  <si>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</si>
  <si>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</si>
  <si>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</si>
  <si>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</si>
  <si>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</si>
  <si>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</si>
  <si>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</si>
  <si>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</si>
  <si>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</si>
  <si>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</si>
  <si>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</si>
  <si>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</si>
  <si>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</si>
  <si>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</si>
  <si>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</si>
  <si>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</si>
  <si>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</si>
  <si>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</si>
  <si>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</si>
  <si>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</si>
  <si>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</si>
  <si>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</si>
  <si>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</si>
  <si>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</si>
  <si>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</si>
  <si>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</si>
  <si>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</si>
  <si>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</si>
  <si>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</si>
  <si>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</si>
  <si>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</si>
  <si>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</si>
  <si>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</si>
  <si>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</si>
  <si>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</si>
  <si>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</si>
  <si>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</si>
  <si>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</si>
  <si>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</si>
  <si>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</si>
  <si>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</si>
  <si>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</si>
  <si>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</si>
  <si>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</si>
  <si>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</si>
  <si>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Relatives Appartment</t>
  </si>
  <si>
    <t>bed room</t>
  </si>
  <si>
    <t>Rural Accommodation Units</t>
  </si>
  <si>
    <t>Rural Dwelling</t>
  </si>
  <si>
    <t>Service Premises</t>
  </si>
  <si>
    <t>Shopping Centre 0 - 10,000m2 GFA</t>
  </si>
  <si>
    <t>Shopping Centre 10,000 - 20,000m2 GFA</t>
  </si>
  <si>
    <t>Shopping Centre 20,000 - 30,000m2 GFA</t>
  </si>
  <si>
    <t>Shopping Centre 30,000 - 40,000m2 GFA</t>
  </si>
  <si>
    <t>Vet Clinic/Vet Hospital</t>
  </si>
  <si>
    <t>Wrecking/Salvage Yard</t>
  </si>
  <si>
    <t>100m² TUA</t>
  </si>
  <si>
    <t>100m² GFA</t>
  </si>
  <si>
    <t>Planning Scheme Policy for infrastructure contributions - stormwater and transport infrastructure (Roads)</t>
  </si>
  <si>
    <t>Receipt Code</t>
  </si>
  <si>
    <t>Note</t>
  </si>
  <si>
    <t>RFA = Roofed Floor Area</t>
  </si>
  <si>
    <t>FPA = First Principles Assessment</t>
  </si>
  <si>
    <t>GFA = Gross Floor Area</t>
  </si>
  <si>
    <t>TUA = Total Use Area</t>
  </si>
  <si>
    <t>Summary - Developer Contributions (Thuringowa)</t>
  </si>
  <si>
    <t>Jun '09</t>
  </si>
  <si>
    <t>CON45</t>
  </si>
  <si>
    <t>CON50</t>
  </si>
  <si>
    <t>CON55</t>
  </si>
  <si>
    <t>Awaiting clarification of reciept codes, updated CPI and RBCI</t>
  </si>
  <si>
    <t>$/WU</t>
  </si>
  <si>
    <t>Water Supply Board headworks (Rb)</t>
  </si>
  <si>
    <t>Council reservoirs (Rr)</t>
  </si>
  <si>
    <t>Council mains &amp; other works (Rm)</t>
  </si>
  <si>
    <r>
      <t xml:space="preserve">WU = Demand </t>
    </r>
    <r>
      <rPr>
        <sz val="10"/>
        <rFont val="Arial"/>
        <family val="2"/>
      </rPr>
      <t>(Policy attachment A2)</t>
    </r>
  </si>
  <si>
    <t>WU's</t>
  </si>
  <si>
    <r>
      <t xml:space="preserve">$Cb = Credit for Annual Water Charges Paid </t>
    </r>
    <r>
      <rPr>
        <sz val="10"/>
        <rFont val="Arial"/>
        <family val="2"/>
      </rPr>
      <t>(Policy s13)</t>
    </r>
  </si>
  <si>
    <t>NPV of Annual Water Charges from 1/7/85</t>
  </si>
  <si>
    <t>$Cb (WU)</t>
  </si>
  <si>
    <t>Reference to calculation</t>
  </si>
  <si>
    <t>NPV  ($)</t>
  </si>
  <si>
    <t>WUCr (WU)</t>
  </si>
  <si>
    <r>
      <t>WUCm = Credit forWater Mains</t>
    </r>
    <r>
      <rPr>
        <sz val="10"/>
        <rFont val="Arial"/>
        <family val="2"/>
      </rPr>
      <t xml:space="preserve"> (Policy s12(2))</t>
    </r>
  </si>
  <si>
    <r>
      <t>WUCc = Credit for Previous Contributions</t>
    </r>
    <r>
      <rPr>
        <sz val="10"/>
        <rFont val="Arial"/>
        <family val="2"/>
      </rPr>
      <t xml:space="preserve"> (Policy s12(3))</t>
    </r>
  </si>
  <si>
    <r>
      <t>No. of WU's Previously Paid</t>
    </r>
    <r>
      <rPr>
        <b/>
        <sz val="10"/>
        <rFont val="Cambria"/>
        <family val="1"/>
      </rPr>
      <t>³</t>
    </r>
  </si>
  <si>
    <t>Water Supply Board works</t>
  </si>
  <si>
    <t>Council Reservoirs</t>
  </si>
  <si>
    <t>Council mains &amp; other works</t>
  </si>
  <si>
    <t>Water Board Works (Hb)</t>
  </si>
  <si>
    <t>= Rb x (WU - $Cb -WUCc)</t>
  </si>
  <si>
    <t>Council Reservoirs (Hr)</t>
  </si>
  <si>
    <t>= Rr x (WU - WUCr -WUCc)</t>
  </si>
  <si>
    <t>Council Mains (Hm)</t>
  </si>
  <si>
    <t>= Rm x (WU - WUCm -WUCc)</t>
  </si>
  <si>
    <t>WU/unit</t>
  </si>
  <si>
    <t>8 + 4/bed</t>
  </si>
  <si>
    <t>100m² roofed floor area</t>
  </si>
  <si>
    <r>
      <t>roofed floor area (m</t>
    </r>
    <r>
      <rPr>
        <sz val="10"/>
        <rFont val="Arial"/>
        <family val="2"/>
      </rPr>
      <t>²)</t>
    </r>
    <r>
      <rPr>
        <sz val="10"/>
        <rFont val="Arial"/>
        <family val="2"/>
      </rPr>
      <t xml:space="preserve"> </t>
    </r>
  </si>
  <si>
    <r>
      <t>18 + 1.5/150m</t>
    </r>
    <r>
      <rPr>
        <sz val="10"/>
        <rFont val="Arial"/>
        <family val="2"/>
      </rPr>
      <t>²</t>
    </r>
  </si>
  <si>
    <t>Rural Residential 1</t>
  </si>
  <si>
    <t>Rural Residential 2</t>
  </si>
  <si>
    <t>Village Residential</t>
  </si>
  <si>
    <t>100+Q40 roofed floor area</t>
  </si>
  <si>
    <t>Rural D</t>
  </si>
  <si>
    <t>3 + 9/unit</t>
  </si>
  <si>
    <t>100m² landscaped area</t>
  </si>
  <si>
    <t/>
  </si>
  <si>
    <t>Corrected error for water commencement (was not correctly commenced so reverts to v3 content for water only)</t>
  </si>
  <si>
    <t>For development applications made from 30 June 2009 to next policy amendment</t>
  </si>
  <si>
    <t>Council Resolutions for Road Infrastructure Contribution Waivers</t>
  </si>
  <si>
    <t>(i). Common criteria</t>
  </si>
  <si>
    <t>1. Waiver 1</t>
  </si>
  <si>
    <t>1.1 Specific criteria:</t>
  </si>
  <si>
    <t>1.2 Result:</t>
  </si>
  <si>
    <t>Waiver 1</t>
  </si>
  <si>
    <t>2. Waiver 2</t>
  </si>
  <si>
    <t>2.1 Specific criteria:</t>
  </si>
  <si>
    <t>2.2 Result:</t>
  </si>
  <si>
    <t>Land Use</t>
  </si>
  <si>
    <t>Matching Land Use</t>
  </si>
  <si>
    <t>Waiver (%)</t>
  </si>
  <si>
    <t>Waiver 2 =</t>
  </si>
  <si>
    <t>1. 'Land use' and 'Gross Contribution' sourced from Roads worksheet</t>
  </si>
  <si>
    <t>2. 'Gross Contribution' has deducted credits applicable for existing lawful uses</t>
  </si>
  <si>
    <t>3. Select 'Matching Land Use' to match items in 'Land Use'</t>
  </si>
  <si>
    <t>4. Reconfiguration development is not applicable</t>
  </si>
  <si>
    <t>3. Waiver 3</t>
  </si>
  <si>
    <t>3.1 Specific criteria:</t>
  </si>
  <si>
    <t>3.2 Result:</t>
  </si>
  <si>
    <t>Waiver 3</t>
  </si>
  <si>
    <t>4. Applicable Waiver</t>
  </si>
  <si>
    <t>Table A - Discount Rates</t>
  </si>
  <si>
    <t>Discount</t>
  </si>
  <si>
    <t>Comment</t>
  </si>
  <si>
    <t>Car wash</t>
  </si>
  <si>
    <t>Recognition that Carwash facilities service local communities and new facilities will significantly reduce demand on roads network.</t>
  </si>
  <si>
    <t>Recognition that Child Care Centres selection is frequently based on proximity to work-home travel route &amp; that new facilities will improve supply &amp; choice &amp; potentially reduce road network demand.</t>
  </si>
  <si>
    <t>Convenience Centre (COT)</t>
  </si>
  <si>
    <t>Recognition that convenience centres service local communities and new developments will improve amenity and reduce demand on road network.</t>
  </si>
  <si>
    <t>Education Establishment (Primary School)</t>
  </si>
  <si>
    <t>Recognition that primary schools are generally local and new facilities will reduce demand on roads network. Also equity considerations as State Schools do not pay infrastructure charges.</t>
  </si>
  <si>
    <t>Education Establishment (Secondary School)</t>
  </si>
  <si>
    <t>Recognition that new secondary school developments, while attracting a wider catchment that may use sectoral/regional roads, will reduce trip length and traffic demand. Also equity considerations as State Schools do not pay infrastructure charges.</t>
  </si>
  <si>
    <t>Function Room (COT)</t>
  </si>
  <si>
    <t>Recognition that new function room developments, whilst having a large catchment &amp; therefore placing significant demand on road networks, do provide some local containment.</t>
  </si>
  <si>
    <t>Garden Centre (local)</t>
  </si>
  <si>
    <t>Recognition that local garden centres service local communities and new facilities will reduce demand on road network.</t>
  </si>
  <si>
    <t>Home Based Business</t>
  </si>
  <si>
    <t>Recognition that home based businesses have limited demand on road network.</t>
  </si>
  <si>
    <t>Hospital</t>
  </si>
  <si>
    <t>Recognition that new private hospital developments, whilst having a large catchment &amp; therefore placing additional demand on road networks, do provide some level of local containment.</t>
  </si>
  <si>
    <t>Hotel (non-accommodation component)</t>
  </si>
  <si>
    <t>Recognition that new hotel developments, whilst having a large catchment &amp; therefore placing significant demand on road networks, do provide some local containment.</t>
  </si>
  <si>
    <t>Indoor Recreation (gym)</t>
  </si>
  <si>
    <t>Recognition that indoor recreation facilities generally service local communities and new facilities will reduce demand on road network.</t>
  </si>
  <si>
    <t>Indoor Recreation (licensed or unlicensed club, TCC)</t>
  </si>
  <si>
    <t>Indoor Recreation (other)</t>
  </si>
  <si>
    <t>Indoor Recreation (squash or court)</t>
  </si>
  <si>
    <t>Indoor Recreation (theatre/cinema)</t>
  </si>
  <si>
    <t>Recognition that theatre/cinema developments, whilst having a large catchment &amp; therefore placing significant demand on road networks, do provide some local containment.</t>
  </si>
  <si>
    <t>Medical Centre (large, practitioners &gt; 3)</t>
  </si>
  <si>
    <t xml:space="preserve">Recognition that new larger medical centre developments, whilst having a larger catchment &amp; therefore placing higher road network demands than smaller centres, still provide some local containment. </t>
  </si>
  <si>
    <t>Medical Centre (small, practitioners = or &lt; 3)</t>
  </si>
  <si>
    <t>Recognition that small medical centres service local communities and new facilities will reduce demand on roads network.</t>
  </si>
  <si>
    <t>Office (TCC)</t>
  </si>
  <si>
    <t>Recognition that office developments, whilst generally having a large catchment &amp; therefore placing significant demand on road networks, do potentially provide some local containment.</t>
  </si>
  <si>
    <t>Outdoor Recreation (clubhouse &lt; 250 sqm total clubhouse floor space &amp; no gaming machine licence)</t>
  </si>
  <si>
    <t>Recognition of the benefit provided by small local community sport and recreation based clubhouses.</t>
  </si>
  <si>
    <t>Outdoor Recreation (lawn bowls)</t>
  </si>
  <si>
    <t>Recognition that outdoor recreation facilities generally service local communities and new facilities will reduce demand on road network.</t>
  </si>
  <si>
    <t>Outdoor Recreation (squash or court)</t>
  </si>
  <si>
    <t>Outdoor Recreation (swimming pool)</t>
  </si>
  <si>
    <t>Place of Public Worship (COT)</t>
  </si>
  <si>
    <t>Recognition of the role and nature of recognised religious places of worship.</t>
  </si>
  <si>
    <t>Place of Worship (TCC)</t>
  </si>
  <si>
    <t>Professional Offices (COT)</t>
  </si>
  <si>
    <t>Restaurant (up to 100 seat)</t>
  </si>
  <si>
    <t>Recognition that small restaurants generally service local communities and new developments will improve amenity and reduce demand on road network.</t>
  </si>
  <si>
    <t>Service Industry (TCC)</t>
  </si>
  <si>
    <t>Recognition that service industries generally serve local communities and new facilities will reduce demand on road network.</t>
  </si>
  <si>
    <t>service premises (COT)</t>
  </si>
  <si>
    <t>Service Station (all components)</t>
  </si>
  <si>
    <t>Generally located on, and reliant upon, major arterials. Limited local containment</t>
  </si>
  <si>
    <t>Shop (&lt;600m2 GFA)</t>
  </si>
  <si>
    <t>Recognition that small local shops generally service local communities and new developments will improve amenity and convenience and reduce demand on road network.</t>
  </si>
  <si>
    <t>Shopping Centre (1 – 10,000m2 GFA) (COT)</t>
  </si>
  <si>
    <t>Recognition that small to medium neighbourhood centre generally service local communities and new facilities will improve amenity and convenience and reduce demand on road network.</t>
  </si>
  <si>
    <t>Shopping Complex (1-10,000m2 GFA) (TCC)</t>
  </si>
  <si>
    <t>Showroom (0 - 600m2 GFA)</t>
  </si>
  <si>
    <t>The size zoning match retail, as effectively same zoning.</t>
  </si>
  <si>
    <t>No match</t>
  </si>
  <si>
    <t>Table B-  Traffic Demand Referral Trigger</t>
  </si>
  <si>
    <t>Top of Page</t>
  </si>
  <si>
    <t>Catchment</t>
  </si>
  <si>
    <t>TDU</t>
  </si>
  <si>
    <t>Sector 1</t>
  </si>
  <si>
    <t>Sector 2</t>
  </si>
  <si>
    <t>Sector 3</t>
  </si>
  <si>
    <t>Sector 4</t>
  </si>
  <si>
    <t>Sector 5</t>
  </si>
  <si>
    <t>Sector 6</t>
  </si>
  <si>
    <t>Sector 7</t>
  </si>
  <si>
    <t>Sector 8</t>
  </si>
  <si>
    <t>Sector 9</t>
  </si>
  <si>
    <t>Sector 10</t>
  </si>
  <si>
    <t>Sector 10a</t>
  </si>
  <si>
    <t>Sector 10b</t>
  </si>
  <si>
    <t>Sector 11 (Magnetic Is)</t>
  </si>
  <si>
    <t>Gross Charge ($)</t>
  </si>
  <si>
    <t>Waivers ($)</t>
  </si>
  <si>
    <t>Net Charge Payable ($)</t>
  </si>
  <si>
    <t>N/A</t>
  </si>
  <si>
    <t>TCC</t>
  </si>
  <si>
    <t>SCR</t>
  </si>
  <si>
    <t>CON75</t>
  </si>
  <si>
    <t>CON80</t>
  </si>
  <si>
    <t>CON1100a</t>
  </si>
  <si>
    <t>CON2100a</t>
  </si>
  <si>
    <t>CON1100b</t>
  </si>
  <si>
    <t>CON2100b</t>
  </si>
  <si>
    <t>Reciept Code</t>
  </si>
  <si>
    <t>Indexation Factor</t>
  </si>
  <si>
    <t>Corrected State Govt CPI adjustment past Jun 09, Stormwater index error and Waiver sheet, and Road reciept codes &amp; updated indicies</t>
  </si>
  <si>
    <t>Corrected road waivers (to recognise non-urban development)</t>
  </si>
  <si>
    <t>4. Reference is required to the policies for details of application, maps, etc. - this calculator is to be used in conjunction with those policies.</t>
  </si>
  <si>
    <t>Amended instructions  and notes on welcome sheet, added commentary to summary sheet stating periodic updates of indexation and updated ABS indices for Sept. '11</t>
  </si>
  <si>
    <t>Inflationary adjustments for June 2011</t>
  </si>
  <si>
    <t>Inflationary adjustment for March 2012 indices.</t>
  </si>
  <si>
    <t>(i) Updated for inflationary adjustment for Jun 2012 indices (ii) corrected error in formula for sewer and water demand calculation
(iii) Provided option for Inflation for Open Space and Car Parking</t>
  </si>
  <si>
    <t>(Last amended 22/09/2008)</t>
  </si>
  <si>
    <t>(i) Updated for inflationary adjustment for Sep 2012 indices  (ii) listed demand rate for industry in roads (iii) Corrected date of policy amendment for parks</t>
  </si>
  <si>
    <t>(i) Updated for inflationary adjustment for Dec 2012 indices   (ii) Added note for print error.</t>
  </si>
  <si>
    <t>(i) Updated for inflationary adjustment for March 2013 indices  (ii) corrected demand rate for accommodation building  for roads (iv) Applied formula to allow park contribution only for subdivision</t>
  </si>
  <si>
    <t>Waiver 6 - Council Resolution for Maximum Standard Infrastructure Contribution Waivers</t>
  </si>
  <si>
    <t>Updated for inflationary adjustment for Sep 2013 indices</t>
  </si>
  <si>
    <t>Updated for inflationary adjustment for June 2013 indices</t>
  </si>
  <si>
    <t>All land use zonings/precincts</t>
  </si>
  <si>
    <t>(i) Updated for inflationary adjustment for Dec 2013 indices (ii) Corrected land use list for ROL equivalencies in Roads (iii) Corrected transport demand rate for Funeral Parlour, Office, Shopping Centre 30,000 - 40,000m2 GFA, Showroom, Vehicle Repair Premises, Wrecking/Salvage Yard</t>
  </si>
  <si>
    <t>(i) 'Updated for inflationary adjustment for March 2014 indices (ii) Applied adjustment in Summary for rounding error</t>
  </si>
  <si>
    <t>Updated for inflationary adjustment for June 2014 indices</t>
  </si>
  <si>
    <t>Updated for Sep '14 indices</t>
  </si>
  <si>
    <t>Updated for Dec '14 indices</t>
  </si>
  <si>
    <t>4.20</t>
  </si>
  <si>
    <t>Updated for Mar '15 indices</t>
  </si>
  <si>
    <t>Updated for Jun '15 indicies</t>
  </si>
  <si>
    <t>Updated for Sep '15 indices</t>
  </si>
  <si>
    <t>Updated for Dec '15 indices</t>
  </si>
  <si>
    <t>Updated for Mar '16 indices</t>
  </si>
  <si>
    <t>Updated for Jun '16 indices</t>
  </si>
  <si>
    <t>Updated for Sep '16 indices</t>
  </si>
  <si>
    <t>Updated for Dec '16 indices</t>
  </si>
  <si>
    <t>Updated for Mar '17 indicies</t>
  </si>
  <si>
    <t>Updated for JUN '17 indicies</t>
  </si>
  <si>
    <t>updated for SEP 17 indicies</t>
  </si>
  <si>
    <t>4.30</t>
  </si>
  <si>
    <t>Updated for Dec 17 indicies</t>
  </si>
  <si>
    <t>Updated for MAR 18 indicies</t>
  </si>
  <si>
    <t>Updated for June 18 indicies</t>
  </si>
  <si>
    <t>updated indicies</t>
  </si>
  <si>
    <t>Payment quarter</t>
  </si>
  <si>
    <t>Index. Quarter</t>
  </si>
  <si>
    <t>4.50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</si>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</sst>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d/m/yyyy;@"/>
    <numFmt numFmtId="172" formatCode="[$-C09]d\ mmmm\ yyyy;@"/>
    <numFmt numFmtId="173" formatCode="mmm\'yy"/>
    <numFmt numFmtId="174" formatCode="mmm\ \'yy"/>
  </numFmts>
  <fonts count="58" x14ac:knownFonts="1">
    <font>
      <sz val="10"/>
      <name val="Arial"/>
    </font>
    <font>
      <sz val="11"/>
      <color theme="1"/>
      <name val="Calibri"/>
      <family val="2"/>
      <scheme val="minor"/>
    </font>
    <font>
      <sz val="10"/>
      <color indexed="8"/>
      <name val="Arial"/>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sz val="11"/>
      <name val="Arial"/>
      <family val="2"/>
    </font>
    <font>
      <sz val="9"/>
      <name val="Arial"/>
      <family val="2"/>
    </font>
    <font>
      <u/>
      <sz val="10"/>
      <name val="Arial"/>
      <family val="2"/>
    </font>
    <font>
      <b/>
      <sz val="10"/>
      <name val="Cambria"/>
      <family val="1"/>
    </font>
    <font>
      <sz val="10"/>
      <name val="Cambria"/>
      <family val="1"/>
    </font>
    <font>
      <u/>
      <sz val="9"/>
      <name val="Arial"/>
      <family val="2"/>
    </font>
    <font>
      <sz val="12"/>
      <name val="Arial"/>
      <family val="2"/>
    </font>
    <font>
      <u val="singleAccounting"/>
      <sz val="10"/>
      <name val="Arial"/>
      <family val="2"/>
    </font>
    <font>
      <b/>
      <u val="doubleAccounting"/>
      <sz val="10"/>
      <name val="Arial"/>
      <family val="2"/>
    </font>
    <font>
      <b/>
      <u/>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25"/>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Narrow"/>
      <family val="2"/>
    </font>
    <font>
      <sz val="10"/>
      <name val="Arial"/>
      <family val="2"/>
    </font>
    <font>
      <u/>
      <sz val="10"/>
      <name val="Arial"/>
      <family val="2"/>
    </font>
    <font>
      <sz val="10"/>
      <name val="Arial"/>
      <family val="2"/>
    </font>
    <font>
      <b/>
      <u/>
      <sz val="10"/>
      <color indexed="48"/>
      <name val="Arial"/>
      <family val="2"/>
    </font>
    <font>
      <sz val="10"/>
      <name val="Arial"/>
      <family val="2"/>
    </font>
    <font>
      <b/>
      <sz val="10"/>
      <name val="Arial Narrow"/>
      <family val="2"/>
    </font>
    <font>
      <sz val="10"/>
      <name val="Arial"/>
      <family val="2"/>
    </font>
    <font>
      <u/>
      <sz val="10"/>
      <color indexed="12"/>
      <name val="Arial"/>
      <family val="2"/>
    </font>
    <font>
      <sz val="10"/>
      <name val="Arial"/>
      <family val="2"/>
    </font>
    <font>
      <sz val="10"/>
      <name val="Arial"/>
      <family val="2"/>
    </font>
    <font>
      <sz val="11"/>
      <color theme="1"/>
      <name val="Calibri"/>
      <family val="2"/>
      <scheme val="minor"/>
    </font>
    <font>
      <sz val="10"/>
      <color theme="1"/>
      <name val="Arial"/>
      <family val="2"/>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s>
  <cellStyleXfs count="3135">
    <xf numFmtId="0" fontId="0" fillId="0" borderId="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172"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2" fontId="26" fillId="2"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172"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2" fontId="26" fillId="3"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172"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2" fontId="26" fillId="4"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172"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2" fontId="26" fillId="6"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172"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2" fontId="26" fillId="7"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172"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2" fontId="26" fillId="9"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172"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2" fontId="26" fillId="10"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172"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2" fontId="26" fillId="5"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172"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2" fontId="26" fillId="8"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172"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2" fontId="26"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172"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172"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2" fontId="27" fillId="12"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172"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2"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172"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2" fontId="27" fillId="10"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172"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172"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2"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172"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172"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2"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172"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172"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2"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172"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172"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2"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172"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2"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172"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2"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172"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172"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2" fontId="27" fillId="19"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172"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172"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2" fontId="28"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172"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172"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2" fontId="29" fillId="20" borderId="1"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172"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172"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2" fontId="30"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172"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172"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2" fontId="31" fillId="0" borderId="0" applyNumberFormat="0" applyFill="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172"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172"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2" fontId="32" fillId="4" borderId="0" applyNumberFormat="0" applyBorder="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172"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172"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2" fontId="33" fillId="0" borderId="3"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172"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172"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2" fontId="34" fillId="0" borderId="4"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172"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172"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2" fontId="35" fillId="0" borderId="5"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172"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172"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2" fontId="35" fillId="0" borderId="0" applyNumberFormat="0" applyFill="0" applyBorder="0" applyAlignment="0" applyProtection="0"/>
    <xf numFmtId="0" fontId="36" fillId="0" borderId="0" applyNumberFormat="0" applyFill="0" applyBorder="0" applyAlignment="0" applyProtection="0">
      <alignment vertical="top"/>
      <protection locked="0"/>
    </xf>
    <xf numFmtId="172"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172"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7" fillId="7" borderId="1" applyNumberFormat="0" applyAlignment="0" applyProtection="0"/>
    <xf numFmtId="172" fontId="37" fillId="7" borderId="1" applyNumberFormat="0" applyAlignment="0" applyProtection="0"/>
    <xf numFmtId="172" fontId="37" fillId="7" borderId="1" applyNumberFormat="0" applyAlignment="0" applyProtection="0"/>
    <xf numFmtId="0" fontId="37" fillId="7" borderId="1" applyNumberFormat="0" applyAlignment="0" applyProtection="0"/>
    <xf numFmtId="0" fontId="37" fillId="7" borderId="1" applyNumberFormat="0" applyAlignment="0" applyProtection="0"/>
    <xf numFmtId="172" fontId="37" fillId="7" borderId="1" applyNumberFormat="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172"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172" fontId="38" fillId="0" borderId="6"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172" fontId="38" fillId="0" borderId="6" applyNumberFormat="0" applyFill="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172"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172" fontId="39" fillId="22" borderId="0" applyNumberFormat="0" applyBorder="0" applyAlignment="0" applyProtection="0"/>
    <xf numFmtId="0" fontId="39" fillId="22" borderId="0" applyNumberFormat="0" applyBorder="0" applyAlignment="0" applyProtection="0"/>
    <xf numFmtId="0" fontId="39" fillId="22" borderId="0" applyNumberFormat="0" applyBorder="0" applyAlignment="0" applyProtection="0"/>
    <xf numFmtId="172" fontId="39" fillId="22" borderId="0" applyNumberFormat="0" applyBorder="0" applyAlignment="0" applyProtection="0"/>
    <xf numFmtId="0" fontId="55" fillId="0" borderId="0"/>
    <xf numFmtId="0" fontId="3" fillId="0" borderId="0"/>
    <xf numFmtId="0" fontId="55" fillId="0" borderId="0"/>
    <xf numFmtId="172" fontId="3" fillId="0" borderId="0"/>
    <xf numFmtId="0" fontId="3" fillId="0" borderId="0"/>
    <xf numFmtId="0" fontId="3" fillId="0" borderId="0"/>
    <xf numFmtId="0" fontId="54"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55" fillId="0" borderId="0"/>
    <xf numFmtId="0" fontId="3" fillId="0" borderId="0"/>
    <xf numFmtId="0" fontId="3" fillId="0" borderId="0"/>
    <xf numFmtId="172" fontId="3" fillId="0" borderId="0"/>
    <xf numFmtId="172" fontId="3" fillId="0" borderId="0"/>
    <xf numFmtId="0" fontId="3" fillId="0" borderId="0"/>
    <xf numFmtId="0" fontId="55" fillId="0" borderId="0"/>
    <xf numFmtId="0" fontId="55" fillId="0" borderId="0"/>
    <xf numFmtId="0" fontId="55" fillId="0" borderId="0"/>
    <xf numFmtId="0" fontId="55" fillId="0" borderId="0"/>
    <xf numFmtId="172" fontId="3" fillId="0" borderId="0"/>
    <xf numFmtId="172"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55" fillId="0" borderId="0"/>
    <xf numFmtId="0" fontId="55" fillId="0" borderId="0"/>
    <xf numFmtId="0" fontId="55" fillId="0" borderId="0"/>
    <xf numFmtId="0" fontId="3" fillId="0" borderId="0"/>
    <xf numFmtId="0" fontId="56"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172" fontId="3" fillId="0" borderId="0"/>
    <xf numFmtId="172" fontId="3" fillId="0" borderId="0"/>
    <xf numFmtId="172"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55" fillId="0" borderId="0"/>
    <xf numFmtId="0" fontId="55"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xf numFmtId="0" fontId="3" fillId="0" borderId="0"/>
    <xf numFmtId="0" fontId="3" fillId="0" borderId="0"/>
    <xf numFmtId="0" fontId="56" fillId="0" borderId="0"/>
    <xf numFmtId="0" fontId="56" fillId="0" borderId="0"/>
    <xf numFmtId="172" fontId="3" fillId="0" borderId="0"/>
    <xf numFmtId="0" fontId="56" fillId="0" borderId="0"/>
    <xf numFmtId="0" fontId="56" fillId="0" borderId="0"/>
    <xf numFmtId="0" fontId="3" fillId="0" borderId="0"/>
    <xf numFmtId="0" fontId="56" fillId="0" borderId="0"/>
    <xf numFmtId="0" fontId="3" fillId="0" borderId="0"/>
    <xf numFmtId="172" fontId="3" fillId="0" borderId="0"/>
    <xf numFmtId="0" fontId="56" fillId="0" borderId="0"/>
    <xf numFmtId="172" fontId="3" fillId="0" borderId="0"/>
    <xf numFmtId="0" fontId="3" fillId="0" borderId="0"/>
    <xf numFmtId="172" fontId="3" fillId="0" borderId="0"/>
    <xf numFmtId="0" fontId="3" fillId="0" borderId="0"/>
    <xf numFmtId="0" fontId="3" fillId="0" borderId="0"/>
    <xf numFmtId="0" fontId="56" fillId="0" borderId="0"/>
    <xf numFmtId="0" fontId="3" fillId="0" borderId="0"/>
    <xf numFmtId="0" fontId="3" fillId="0" borderId="0"/>
    <xf numFmtId="0" fontId="3" fillId="0" borderId="0"/>
    <xf numFmtId="0" fontId="56" fillId="0" borderId="0"/>
    <xf numFmtId="172" fontId="3" fillId="0" borderId="0"/>
    <xf numFmtId="0" fontId="3" fillId="0" borderId="0"/>
    <xf numFmtId="172" fontId="3" fillId="0" borderId="0"/>
    <xf numFmtId="172" fontId="3" fillId="0" borderId="0"/>
    <xf numFmtId="172" fontId="3" fillId="0" borderId="0"/>
    <xf numFmtId="0" fontId="3" fillId="0" borderId="0"/>
    <xf numFmtId="172" fontId="56" fillId="0" borderId="0"/>
    <xf numFmtId="0" fontId="56" fillId="0" borderId="0"/>
    <xf numFmtId="172" fontId="56" fillId="0" borderId="0"/>
    <xf numFmtId="0" fontId="56" fillId="0" borderId="0"/>
    <xf numFmtId="172" fontId="56" fillId="0" borderId="0"/>
    <xf numFmtId="172" fontId="56" fillId="0" borderId="0"/>
    <xf numFmtId="0" fontId="56" fillId="0" borderId="0"/>
    <xf numFmtId="0" fontId="56" fillId="0" borderId="0"/>
    <xf numFmtId="172" fontId="56" fillId="0" borderId="0"/>
    <xf numFmtId="0" fontId="56" fillId="0" borderId="0"/>
    <xf numFmtId="0" fontId="56" fillId="0" borderId="0"/>
    <xf numFmtId="0" fontId="3" fillId="0" borderId="0"/>
    <xf numFmtId="172" fontId="56" fillId="0" borderId="0"/>
    <xf numFmtId="0" fontId="56" fillId="0" borderId="0"/>
    <xf numFmtId="172" fontId="3" fillId="0" borderId="0"/>
    <xf numFmtId="0" fontId="3" fillId="0" borderId="0"/>
    <xf numFmtId="172" fontId="3" fillId="0" borderId="0"/>
    <xf numFmtId="0" fontId="3" fillId="0" borderId="0"/>
    <xf numFmtId="0" fontId="3" fillId="0" borderId="0"/>
    <xf numFmtId="0" fontId="55" fillId="0" borderId="0"/>
    <xf numFmtId="0" fontId="55" fillId="0" borderId="0"/>
    <xf numFmtId="0" fontId="55" fillId="0" borderId="0"/>
    <xf numFmtId="0" fontId="56" fillId="0" borderId="0"/>
    <xf numFmtId="0" fontId="55" fillId="0" borderId="0"/>
    <xf numFmtId="0" fontId="55" fillId="0" borderId="0"/>
    <xf numFmtId="0" fontId="56" fillId="0" borderId="0"/>
    <xf numFmtId="0" fontId="56" fillId="0" borderId="0"/>
    <xf numFmtId="0" fontId="3" fillId="0" borderId="0"/>
    <xf numFmtId="0" fontId="3" fillId="0" borderId="0"/>
    <xf numFmtId="0" fontId="55" fillId="0" borderId="0"/>
    <xf numFmtId="172" fontId="3" fillId="0" borderId="0"/>
    <xf numFmtId="0" fontId="55" fillId="0" borderId="0"/>
    <xf numFmtId="172" fontId="3" fillId="0" borderId="0"/>
    <xf numFmtId="0" fontId="55" fillId="0" borderId="0"/>
    <xf numFmtId="0" fontId="3" fillId="0" borderId="0"/>
    <xf numFmtId="0" fontId="3" fillId="0" borderId="0"/>
    <xf numFmtId="172" fontId="3" fillId="0" borderId="0"/>
    <xf numFmtId="0" fontId="3" fillId="0" borderId="0"/>
    <xf numFmtId="172" fontId="3" fillId="0" borderId="0"/>
    <xf numFmtId="0" fontId="55" fillId="0" borderId="0"/>
    <xf numFmtId="172" fontId="3" fillId="0" borderId="0"/>
    <xf numFmtId="172" fontId="3" fillId="0" borderId="0"/>
    <xf numFmtId="0" fontId="3" fillId="0" borderId="0"/>
    <xf numFmtId="172" fontId="3" fillId="0" borderId="0"/>
    <xf numFmtId="0" fontId="55" fillId="0" borderId="0"/>
    <xf numFmtId="0" fontId="55" fillId="0" borderId="0"/>
    <xf numFmtId="172" fontId="3" fillId="0" borderId="0"/>
    <xf numFmtId="0" fontId="56" fillId="0" borderId="0"/>
    <xf numFmtId="0" fontId="3" fillId="0" borderId="0"/>
    <xf numFmtId="0" fontId="56" fillId="0" borderId="0"/>
    <xf numFmtId="0" fontId="55" fillId="0" borderId="0"/>
    <xf numFmtId="172" fontId="3" fillId="0" borderId="0"/>
    <xf numFmtId="0" fontId="55" fillId="0" borderId="0"/>
    <xf numFmtId="172" fontId="3" fillId="0" borderId="0"/>
    <xf numFmtId="0" fontId="55" fillId="0" borderId="0"/>
    <xf numFmtId="172"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56" fillId="0" borderId="0"/>
    <xf numFmtId="0" fontId="3" fillId="0" borderId="0"/>
    <xf numFmtId="0" fontId="56" fillId="0" borderId="0"/>
    <xf numFmtId="0" fontId="55" fillId="0" borderId="0"/>
    <xf numFmtId="0" fontId="3" fillId="0" borderId="0"/>
    <xf numFmtId="172" fontId="3" fillId="0" borderId="0"/>
    <xf numFmtId="0" fontId="3" fillId="0" borderId="0"/>
    <xf numFmtId="0" fontId="56" fillId="0" borderId="0"/>
    <xf numFmtId="0" fontId="3" fillId="0" borderId="0"/>
    <xf numFmtId="0" fontId="56" fillId="0" borderId="0"/>
    <xf numFmtId="0" fontId="55" fillId="0" borderId="0"/>
    <xf numFmtId="172" fontId="3" fillId="0" borderId="0"/>
    <xf numFmtId="0" fontId="55" fillId="0" borderId="0"/>
    <xf numFmtId="172" fontId="3" fillId="0" borderId="0"/>
    <xf numFmtId="0" fontId="55" fillId="0" borderId="0"/>
    <xf numFmtId="172" fontId="3" fillId="0" borderId="0"/>
    <xf numFmtId="0" fontId="3" fillId="0" borderId="0"/>
    <xf numFmtId="172" fontId="3" fillId="0" borderId="0"/>
    <xf numFmtId="172" fontId="3" fillId="0" borderId="0"/>
    <xf numFmtId="172" fontId="53" fillId="0" borderId="0"/>
    <xf numFmtId="172" fontId="3" fillId="0" borderId="0"/>
    <xf numFmtId="172" fontId="3" fillId="0" borderId="0"/>
    <xf numFmtId="0" fontId="55" fillId="0" borderId="0"/>
    <xf numFmtId="0" fontId="55" fillId="0" borderId="0"/>
    <xf numFmtId="0" fontId="3" fillId="0" borderId="0"/>
    <xf numFmtId="0" fontId="3" fillId="0" borderId="0"/>
    <xf numFmtId="0" fontId="55" fillId="0" borderId="0"/>
    <xf numFmtId="0" fontId="56" fillId="0" borderId="0"/>
    <xf numFmtId="0" fontId="55" fillId="0" borderId="0"/>
    <xf numFmtId="0" fontId="56" fillId="0" borderId="0"/>
    <xf numFmtId="0" fontId="3" fillId="0" borderId="0"/>
    <xf numFmtId="0" fontId="56" fillId="0" borderId="0"/>
    <xf numFmtId="0" fontId="3" fillId="0" borderId="0"/>
    <xf numFmtId="172" fontId="3" fillId="0" borderId="0"/>
    <xf numFmtId="172" fontId="3" fillId="0" borderId="0"/>
    <xf numFmtId="0" fontId="3" fillId="0" borderId="0"/>
    <xf numFmtId="0" fontId="56" fillId="0" borderId="0"/>
    <xf numFmtId="172" fontId="3" fillId="0" borderId="0"/>
    <xf numFmtId="0" fontId="3" fillId="0" borderId="0"/>
    <xf numFmtId="0" fontId="3" fillId="0" borderId="0"/>
    <xf numFmtId="172" fontId="3" fillId="0" borderId="0"/>
    <xf numFmtId="0" fontId="56" fillId="0" borderId="0"/>
    <xf numFmtId="0" fontId="26" fillId="0" borderId="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172"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2" fontId="26" fillId="23" borderId="7" applyNumberFormat="0" applyFon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172"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172" fontId="40" fillId="20" borderId="8" applyNumberFormat="0" applyAlignment="0" applyProtection="0"/>
    <xf numFmtId="0" fontId="40" fillId="20" borderId="8" applyNumberFormat="0" applyAlignment="0" applyProtection="0"/>
    <xf numFmtId="0" fontId="40" fillId="20" borderId="8" applyNumberFormat="0" applyAlignment="0" applyProtection="0"/>
    <xf numFmtId="172" fontId="40"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172"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172"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2" fontId="41" fillId="0" borderId="0" applyNumberFormat="0" applyFill="0" applyBorder="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172"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172"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172" fontId="42" fillId="0" borderId="9"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172"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172"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2" fontId="4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13">
    <xf numFmtId="0" fontId="0" fillId="0" borderId="0" xfId="0"/>
    <xf numFmtId="164" fontId="0" fillId="24" borderId="10" xfId="1582" applyNumberFormat="1" applyFont="1" applyFill="1" applyBorder="1"/>
    <xf numFmtId="164" fontId="0" fillId="24" borderId="11" xfId="1582" applyNumberFormat="1" applyFont="1" applyFill="1" applyBorder="1"/>
    <xf numFmtId="0" fontId="5" fillId="25" borderId="12" xfId="0" applyFont="1" applyFill="1" applyBorder="1"/>
    <xf numFmtId="0" fontId="5" fillId="25" borderId="13" xfId="0" applyFont="1" applyFill="1" applyBorder="1"/>
    <xf numFmtId="0" fontId="5" fillId="25" borderId="14" xfId="0" applyFont="1" applyFill="1" applyBorder="1"/>
    <xf numFmtId="0" fontId="0" fillId="25" borderId="14" xfId="0" applyFill="1" applyBorder="1"/>
    <xf numFmtId="0" fontId="5" fillId="25" borderId="11" xfId="0" applyFont="1" applyFill="1" applyBorder="1" applyAlignment="1">
      <alignment horizontal="center"/>
    </xf>
    <xf numFmtId="0" fontId="5" fillId="25" borderId="12" xfId="0" applyFont="1" applyFill="1" applyBorder="1" applyAlignment="1">
      <alignment horizontal="center"/>
    </xf>
    <xf numFmtId="165" fontId="0" fillId="24" borderId="11" xfId="1582" applyNumberFormat="1" applyFont="1" applyFill="1" applyBorder="1"/>
    <xf numFmtId="17" fontId="0" fillId="24" borderId="11" xfId="0" applyNumberFormat="1" applyFill="1" applyBorder="1"/>
    <xf numFmtId="166" fontId="0" fillId="24" borderId="11" xfId="1582" applyNumberFormat="1" applyFont="1" applyFill="1" applyBorder="1"/>
    <xf numFmtId="0" fontId="0" fillId="24" borderId="12" xfId="0" applyFill="1" applyBorder="1"/>
    <xf numFmtId="0" fontId="0" fillId="24" borderId="13" xfId="0" applyFill="1" applyBorder="1"/>
    <xf numFmtId="0" fontId="0" fillId="24" borderId="14" xfId="0" applyFill="1" applyBorder="1"/>
    <xf numFmtId="0" fontId="0" fillId="24" borderId="11" xfId="0" applyFill="1" applyBorder="1" applyAlignment="1">
      <alignment horizontal="right"/>
    </xf>
    <xf numFmtId="165" fontId="0" fillId="24" borderId="11" xfId="1582" applyNumberFormat="1" applyFont="1" applyFill="1" applyBorder="1" applyAlignment="1"/>
    <xf numFmtId="2" fontId="0" fillId="24" borderId="11" xfId="0" applyNumberFormat="1" applyFill="1" applyBorder="1"/>
    <xf numFmtId="0" fontId="0" fillId="24" borderId="10" xfId="0" applyFill="1" applyBorder="1"/>
    <xf numFmtId="164" fontId="5" fillId="24" borderId="11" xfId="1582" applyNumberFormat="1" applyFont="1" applyFill="1" applyBorder="1"/>
    <xf numFmtId="0" fontId="0" fillId="24" borderId="15" xfId="0" applyFill="1" applyBorder="1"/>
    <xf numFmtId="0" fontId="0" fillId="24" borderId="16" xfId="0" applyFill="1" applyBorder="1"/>
    <xf numFmtId="0" fontId="0" fillId="24" borderId="17" xfId="0" applyFill="1" applyBorder="1"/>
    <xf numFmtId="0" fontId="5" fillId="25" borderId="10" xfId="0" quotePrefix="1" applyFont="1" applyFill="1" applyBorder="1" applyAlignment="1">
      <alignment horizontal="center"/>
    </xf>
    <xf numFmtId="17" fontId="5" fillId="25" borderId="18" xfId="0" quotePrefix="1" applyNumberFormat="1" applyFont="1" applyFill="1" applyBorder="1" applyAlignment="1">
      <alignment horizontal="center"/>
    </xf>
    <xf numFmtId="0" fontId="5" fillId="25" borderId="10" xfId="0" applyFont="1" applyFill="1" applyBorder="1" applyAlignment="1">
      <alignment horizontal="center"/>
    </xf>
    <xf numFmtId="17" fontId="5" fillId="25" borderId="18" xfId="0" applyNumberFormat="1" applyFont="1" applyFill="1" applyBorder="1" applyAlignment="1">
      <alignment horizontal="center"/>
    </xf>
    <xf numFmtId="169" fontId="0" fillId="24" borderId="11" xfId="1700" applyNumberFormat="1" applyFont="1" applyFill="1" applyBorder="1"/>
    <xf numFmtId="0" fontId="0" fillId="24" borderId="13" xfId="0" quotePrefix="1" applyFill="1" applyBorder="1"/>
    <xf numFmtId="0" fontId="13" fillId="24" borderId="15" xfId="0" applyFont="1" applyFill="1" applyBorder="1" applyAlignment="1">
      <alignment vertical="center"/>
    </xf>
    <xf numFmtId="0" fontId="13" fillId="24" borderId="17" xfId="0" applyFont="1" applyFill="1" applyBorder="1" applyAlignment="1">
      <alignment vertical="center"/>
    </xf>
    <xf numFmtId="0" fontId="13" fillId="24" borderId="12" xfId="0" applyFont="1" applyFill="1" applyBorder="1" applyAlignment="1">
      <alignment vertical="center"/>
    </xf>
    <xf numFmtId="0" fontId="13" fillId="24" borderId="14" xfId="0" applyFont="1" applyFill="1" applyBorder="1" applyAlignment="1">
      <alignment vertical="center"/>
    </xf>
    <xf numFmtId="0" fontId="13" fillId="24" borderId="19" xfId="0" applyFont="1" applyFill="1" applyBorder="1" applyAlignment="1">
      <alignment vertical="center"/>
    </xf>
    <xf numFmtId="0" fontId="13" fillId="24" borderId="20" xfId="0" applyFont="1" applyFill="1" applyBorder="1" applyAlignment="1">
      <alignment vertical="center"/>
    </xf>
    <xf numFmtId="0" fontId="17" fillId="24" borderId="16" xfId="0" applyFont="1" applyFill="1" applyBorder="1" applyAlignment="1">
      <alignment vertical="center"/>
    </xf>
    <xf numFmtId="0" fontId="13" fillId="24" borderId="17" xfId="0" applyFont="1" applyFill="1" applyBorder="1" applyAlignment="1">
      <alignment horizontal="center" vertical="center" wrapText="1"/>
    </xf>
    <xf numFmtId="17" fontId="13" fillId="24" borderId="21" xfId="0" quotePrefix="1" applyNumberFormat="1" applyFont="1" applyFill="1" applyBorder="1" applyAlignment="1">
      <alignment horizontal="center" vertical="center" wrapText="1"/>
    </xf>
    <xf numFmtId="17" fontId="13" fillId="24" borderId="20" xfId="0" quotePrefix="1" applyNumberFormat="1" applyFont="1" applyFill="1" applyBorder="1" applyAlignment="1">
      <alignment horizontal="center" vertical="center" wrapText="1"/>
    </xf>
    <xf numFmtId="17" fontId="13" fillId="24" borderId="21" xfId="0" applyNumberFormat="1" applyFont="1" applyFill="1" applyBorder="1" applyAlignment="1">
      <alignment horizontal="center"/>
    </xf>
    <xf numFmtId="17" fontId="13" fillId="24" borderId="20" xfId="0" applyNumberFormat="1" applyFont="1" applyFill="1" applyBorder="1" applyAlignment="1">
      <alignment horizontal="center"/>
    </xf>
    <xf numFmtId="0" fontId="13" fillId="24" borderId="22" xfId="0" applyFont="1" applyFill="1" applyBorder="1" applyAlignment="1">
      <alignment vertical="center"/>
    </xf>
    <xf numFmtId="0" fontId="13" fillId="24" borderId="0" xfId="0" applyFont="1" applyFill="1" applyAlignment="1">
      <alignment vertical="center"/>
    </xf>
    <xf numFmtId="0" fontId="13" fillId="24" borderId="23" xfId="0" applyFont="1" applyFill="1" applyBorder="1" applyAlignment="1">
      <alignment vertical="center"/>
    </xf>
    <xf numFmtId="0" fontId="13" fillId="24" borderId="22" xfId="0" applyFont="1" applyFill="1" applyBorder="1"/>
    <xf numFmtId="0" fontId="13" fillId="24" borderId="0" xfId="0" applyFont="1" applyFill="1"/>
    <xf numFmtId="0" fontId="13" fillId="24" borderId="19" xfId="0" applyFont="1" applyFill="1" applyBorder="1"/>
    <xf numFmtId="0" fontId="13" fillId="24" borderId="23" xfId="0" applyFont="1" applyFill="1" applyBorder="1"/>
    <xf numFmtId="0" fontId="13" fillId="24" borderId="21" xfId="0" applyFont="1" applyFill="1" applyBorder="1" applyAlignment="1">
      <alignment vertical="center"/>
    </xf>
    <xf numFmtId="0" fontId="13" fillId="24" borderId="21" xfId="0" applyFont="1" applyFill="1" applyBorder="1"/>
    <xf numFmtId="17" fontId="13" fillId="24" borderId="14" xfId="0" applyNumberFormat="1" applyFont="1" applyFill="1" applyBorder="1" applyAlignment="1">
      <alignment horizontal="center"/>
    </xf>
    <xf numFmtId="17" fontId="13" fillId="24" borderId="17" xfId="0" applyNumberFormat="1" applyFont="1" applyFill="1" applyBorder="1" applyAlignment="1">
      <alignment horizontal="center"/>
    </xf>
    <xf numFmtId="0" fontId="13" fillId="24" borderId="17" xfId="0" applyFont="1" applyFill="1" applyBorder="1" applyAlignment="1">
      <alignment horizontal="center"/>
    </xf>
    <xf numFmtId="0" fontId="13" fillId="24" borderId="0" xfId="0" applyFont="1" applyFill="1" applyAlignment="1">
      <alignment vertical="center" wrapText="1"/>
    </xf>
    <xf numFmtId="0" fontId="13" fillId="24" borderId="10" xfId="0" quotePrefix="1" applyFont="1" applyFill="1" applyBorder="1" applyAlignment="1">
      <alignment horizontal="center" vertical="center" wrapText="1"/>
    </xf>
    <xf numFmtId="0" fontId="13" fillId="24" borderId="24" xfId="0" applyFont="1" applyFill="1" applyBorder="1" applyAlignment="1">
      <alignment horizontal="center"/>
    </xf>
    <xf numFmtId="167" fontId="0" fillId="24" borderId="11" xfId="0" applyNumberFormat="1" applyFill="1" applyBorder="1"/>
    <xf numFmtId="0" fontId="13" fillId="24" borderId="16" xfId="0" applyFont="1" applyFill="1" applyBorder="1" applyAlignment="1">
      <alignment vertical="center"/>
    </xf>
    <xf numFmtId="0" fontId="13" fillId="24" borderId="13" xfId="0" applyFont="1" applyFill="1" applyBorder="1" applyAlignment="1">
      <alignment vertical="center"/>
    </xf>
    <xf numFmtId="0" fontId="15" fillId="25" borderId="11" xfId="0" applyFont="1" applyFill="1" applyBorder="1" applyAlignment="1">
      <alignment horizontal="center" vertical="center"/>
    </xf>
    <xf numFmtId="17" fontId="0" fillId="24" borderId="11" xfId="0" applyNumberFormat="1" applyFill="1" applyBorder="1" applyAlignment="1">
      <alignment horizontal="right"/>
    </xf>
    <xf numFmtId="17" fontId="0" fillId="24" borderId="11" xfId="0" applyNumberFormat="1" applyFill="1" applyBorder="1" applyAlignment="1">
      <alignment horizontal="center"/>
    </xf>
    <xf numFmtId="17" fontId="0" fillId="24" borderId="11" xfId="0" quotePrefix="1" applyNumberFormat="1" applyFill="1" applyBorder="1" applyAlignment="1">
      <alignment horizontal="right"/>
    </xf>
    <xf numFmtId="0" fontId="5" fillId="25" borderId="18" xfId="0" applyFont="1" applyFill="1" applyBorder="1" applyAlignment="1">
      <alignment horizontal="center"/>
    </xf>
    <xf numFmtId="0" fontId="5" fillId="25" borderId="11" xfId="0" quotePrefix="1" applyFont="1" applyFill="1" applyBorder="1" applyAlignment="1">
      <alignment horizontal="center"/>
    </xf>
    <xf numFmtId="0" fontId="15" fillId="24" borderId="12" xfId="0" quotePrefix="1" applyFont="1" applyFill="1" applyBorder="1" applyAlignment="1">
      <alignment horizontal="left" vertical="center"/>
    </xf>
    <xf numFmtId="169" fontId="15" fillId="24" borderId="19" xfId="1700" applyNumberFormat="1" applyFont="1" applyFill="1" applyBorder="1" applyAlignment="1">
      <alignment vertical="center"/>
    </xf>
    <xf numFmtId="0" fontId="5" fillId="24" borderId="11" xfId="0" applyFont="1" applyFill="1" applyBorder="1" applyAlignment="1">
      <alignment horizontal="center" vertical="center" wrapText="1"/>
    </xf>
    <xf numFmtId="0" fontId="5" fillId="24" borderId="11" xfId="0" quotePrefix="1" applyFont="1" applyFill="1" applyBorder="1" applyAlignment="1">
      <alignment horizontal="center" vertical="center" wrapText="1"/>
    </xf>
    <xf numFmtId="0" fontId="13" fillId="24" borderId="18"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4" borderId="18" xfId="0" applyFont="1" applyFill="1" applyBorder="1" applyAlignment="1">
      <alignment horizontal="center"/>
    </xf>
    <xf numFmtId="0" fontId="13" fillId="24" borderId="11" xfId="0" applyFont="1" applyFill="1" applyBorder="1" applyAlignment="1">
      <alignment horizontal="center"/>
    </xf>
    <xf numFmtId="0" fontId="13" fillId="24" borderId="10" xfId="0" applyFont="1" applyFill="1" applyBorder="1" applyAlignment="1">
      <alignment horizontal="center"/>
    </xf>
    <xf numFmtId="167" fontId="0" fillId="24" borderId="11" xfId="0" applyNumberFormat="1" applyFill="1" applyBorder="1" applyAlignment="1">
      <alignment horizontal="center"/>
    </xf>
    <xf numFmtId="165" fontId="0" fillId="24" borderId="11" xfId="1582" applyNumberFormat="1" applyFont="1" applyFill="1" applyBorder="1" applyAlignment="1">
      <alignment horizontal="center"/>
    </xf>
    <xf numFmtId="164" fontId="0" fillId="24" borderId="11" xfId="1582" applyNumberFormat="1" applyFont="1" applyFill="1" applyBorder="1" applyAlignment="1">
      <alignment horizontal="center"/>
    </xf>
    <xf numFmtId="166" fontId="0" fillId="24" borderId="11" xfId="1582" applyNumberFormat="1" applyFont="1" applyFill="1" applyBorder="1" applyAlignment="1"/>
    <xf numFmtId="164" fontId="0" fillId="0" borderId="14" xfId="1582" applyNumberFormat="1" applyFont="1" applyFill="1" applyBorder="1" applyProtection="1">
      <protection locked="0"/>
    </xf>
    <xf numFmtId="0" fontId="5" fillId="24" borderId="15" xfId="0" applyFont="1" applyFill="1" applyBorder="1" applyAlignment="1">
      <alignment horizontal="center" vertical="center"/>
    </xf>
    <xf numFmtId="0" fontId="5" fillId="24" borderId="10"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7" xfId="0" applyFont="1" applyFill="1" applyBorder="1" applyAlignment="1">
      <alignment horizontal="center" vertical="center"/>
    </xf>
    <xf numFmtId="0" fontId="5" fillId="25" borderId="11" xfId="0" applyFont="1" applyFill="1" applyBorder="1" applyAlignment="1">
      <alignment horizontal="center" vertical="center"/>
    </xf>
    <xf numFmtId="0" fontId="0" fillId="24" borderId="18" xfId="0" applyFill="1" applyBorder="1"/>
    <xf numFmtId="0" fontId="0" fillId="24" borderId="19" xfId="0" applyFill="1" applyBorder="1"/>
    <xf numFmtId="0" fontId="5" fillId="24" borderId="17" xfId="0" applyFont="1" applyFill="1" applyBorder="1" applyAlignment="1">
      <alignment vertical="center"/>
    </xf>
    <xf numFmtId="0" fontId="0" fillId="24" borderId="11" xfId="0" applyFill="1" applyBorder="1"/>
    <xf numFmtId="164" fontId="0" fillId="0" borderId="11" xfId="1582" applyNumberFormat="1" applyFont="1" applyFill="1" applyBorder="1" applyProtection="1">
      <protection locked="0"/>
    </xf>
    <xf numFmtId="0" fontId="5" fillId="25" borderId="16" xfId="0" applyFont="1" applyFill="1" applyBorder="1" applyAlignment="1">
      <alignment horizontal="center" vertical="center"/>
    </xf>
    <xf numFmtId="0" fontId="5" fillId="25" borderId="10" xfId="0" applyFont="1" applyFill="1" applyBorder="1" applyAlignment="1">
      <alignment horizontal="center" vertical="center"/>
    </xf>
    <xf numFmtId="0" fontId="5" fillId="25" borderId="12" xfId="0" quotePrefix="1" applyFont="1" applyFill="1" applyBorder="1" applyAlignment="1">
      <alignment horizontal="center"/>
    </xf>
    <xf numFmtId="0" fontId="5" fillId="24" borderId="16" xfId="0" applyFont="1" applyFill="1" applyBorder="1" applyAlignment="1">
      <alignment horizontal="center" vertical="center"/>
    </xf>
    <xf numFmtId="0" fontId="15" fillId="25" borderId="11" xfId="0" quotePrefix="1" applyFont="1" applyFill="1" applyBorder="1" applyAlignment="1">
      <alignment horizontal="center" vertical="center" wrapText="1"/>
    </xf>
    <xf numFmtId="0" fontId="13" fillId="24" borderId="22" xfId="0" applyFont="1" applyFill="1" applyBorder="1" applyAlignment="1">
      <alignment horizontal="left" vertical="center" wrapText="1"/>
    </xf>
    <xf numFmtId="0" fontId="13" fillId="24" borderId="0" xfId="0" applyFont="1" applyFill="1" applyAlignment="1">
      <alignment horizontal="left" vertical="center" wrapText="1"/>
    </xf>
    <xf numFmtId="17" fontId="13" fillId="24" borderId="0" xfId="0" applyNumberFormat="1" applyFont="1" applyFill="1"/>
    <xf numFmtId="165" fontId="13" fillId="24" borderId="0" xfId="1582" applyNumberFormat="1" applyFont="1" applyFill="1" applyBorder="1" applyAlignment="1">
      <alignment horizontal="right"/>
    </xf>
    <xf numFmtId="165" fontId="13" fillId="24" borderId="23" xfId="1582" applyNumberFormat="1" applyFont="1" applyFill="1" applyBorder="1" applyAlignment="1">
      <alignment horizontal="right" vertical="center"/>
    </xf>
    <xf numFmtId="165" fontId="13" fillId="24" borderId="16" xfId="1582" applyNumberFormat="1" applyFont="1" applyFill="1" applyBorder="1" applyAlignment="1">
      <alignment horizontal="right" vertical="center" wrapText="1"/>
    </xf>
    <xf numFmtId="165" fontId="13" fillId="24" borderId="13" xfId="1582" applyNumberFormat="1" applyFont="1" applyFill="1" applyBorder="1" applyAlignment="1">
      <alignment horizontal="right"/>
    </xf>
    <xf numFmtId="165" fontId="13" fillId="24" borderId="16" xfId="1582" applyNumberFormat="1" applyFont="1" applyFill="1" applyBorder="1" applyAlignment="1">
      <alignment horizontal="right"/>
    </xf>
    <xf numFmtId="165" fontId="13" fillId="24" borderId="15" xfId="1582" applyNumberFormat="1" applyFont="1" applyFill="1" applyBorder="1" applyAlignment="1">
      <alignment horizontal="right"/>
    </xf>
    <xf numFmtId="165" fontId="13" fillId="24" borderId="22" xfId="1582" applyNumberFormat="1" applyFont="1" applyFill="1" applyBorder="1" applyAlignment="1">
      <alignment horizontal="right"/>
    </xf>
    <xf numFmtId="165" fontId="13" fillId="24" borderId="15" xfId="1582" applyNumberFormat="1" applyFont="1" applyFill="1" applyBorder="1"/>
    <xf numFmtId="165" fontId="13" fillId="24" borderId="19" xfId="1582" applyNumberFormat="1" applyFont="1" applyFill="1" applyBorder="1" applyAlignment="1">
      <alignment horizontal="right"/>
    </xf>
    <xf numFmtId="17" fontId="0" fillId="24" borderId="11" xfId="0" quotePrefix="1" applyNumberFormat="1" applyFill="1" applyBorder="1" applyAlignment="1">
      <alignment horizontal="left"/>
    </xf>
    <xf numFmtId="167" fontId="0" fillId="24" borderId="11" xfId="0" quotePrefix="1" applyNumberFormat="1" applyFill="1" applyBorder="1" applyAlignment="1">
      <alignment horizontal="center"/>
    </xf>
    <xf numFmtId="167" fontId="0" fillId="24" borderId="11" xfId="0" quotePrefix="1" applyNumberFormat="1" applyFill="1" applyBorder="1" applyAlignment="1">
      <alignment horizontal="right"/>
    </xf>
    <xf numFmtId="0" fontId="0" fillId="26" borderId="0" xfId="0" applyFill="1"/>
    <xf numFmtId="0" fontId="9" fillId="26" borderId="0" xfId="0" applyFont="1" applyFill="1"/>
    <xf numFmtId="0" fontId="10" fillId="26" borderId="0" xfId="0" quotePrefix="1" applyFont="1" applyFill="1" applyAlignment="1">
      <alignment horizontal="left"/>
    </xf>
    <xf numFmtId="0" fontId="22" fillId="26" borderId="0" xfId="0" quotePrefix="1" applyFont="1" applyFill="1" applyAlignment="1">
      <alignment horizontal="left"/>
    </xf>
    <xf numFmtId="0" fontId="0" fillId="26" borderId="0" xfId="0" quotePrefix="1" applyFill="1" applyAlignment="1">
      <alignment horizontal="left"/>
    </xf>
    <xf numFmtId="0" fontId="18" fillId="26" borderId="0" xfId="0" applyFont="1" applyFill="1" applyAlignment="1">
      <alignment horizontal="left"/>
    </xf>
    <xf numFmtId="0" fontId="18" fillId="26" borderId="0" xfId="0" applyFont="1" applyFill="1"/>
    <xf numFmtId="0" fontId="7" fillId="26" borderId="0" xfId="0" applyFont="1" applyFill="1" applyAlignment="1">
      <alignment horizontal="left"/>
    </xf>
    <xf numFmtId="0" fontId="13" fillId="26" borderId="0" xfId="0" applyFont="1" applyFill="1"/>
    <xf numFmtId="0" fontId="15" fillId="26" borderId="0" xfId="0" applyFont="1" applyFill="1"/>
    <xf numFmtId="17" fontId="13" fillId="26" borderId="0" xfId="0" applyNumberFormat="1" applyFont="1" applyFill="1" applyAlignment="1">
      <alignment vertical="center"/>
    </xf>
    <xf numFmtId="0" fontId="13" fillId="26" borderId="0" xfId="0" applyFont="1" applyFill="1" applyAlignment="1">
      <alignment vertical="center" wrapText="1"/>
    </xf>
    <xf numFmtId="0" fontId="13" fillId="26" borderId="0" xfId="0" applyFont="1" applyFill="1" applyAlignment="1">
      <alignment horizontal="center"/>
    </xf>
    <xf numFmtId="0" fontId="17" fillId="26" borderId="0" xfId="0" quotePrefix="1" applyFont="1" applyFill="1" applyAlignment="1">
      <alignment horizontal="left"/>
    </xf>
    <xf numFmtId="0" fontId="14" fillId="26" borderId="0" xfId="0" applyFont="1" applyFill="1" applyAlignment="1">
      <alignment vertical="center" wrapText="1"/>
    </xf>
    <xf numFmtId="0" fontId="13" fillId="26" borderId="0" xfId="0" applyFont="1" applyFill="1" applyAlignment="1">
      <alignment horizontal="center" vertical="center" wrapText="1"/>
    </xf>
    <xf numFmtId="0" fontId="13" fillId="26" borderId="0" xfId="0" quotePrefix="1" applyFont="1" applyFill="1" applyAlignment="1">
      <alignment horizontal="center" vertical="center" wrapText="1"/>
    </xf>
    <xf numFmtId="0" fontId="13" fillId="26" borderId="0" xfId="0" applyFont="1" applyFill="1" applyAlignment="1">
      <alignment horizontal="right" vertical="center" wrapText="1"/>
    </xf>
    <xf numFmtId="169" fontId="13" fillId="26" borderId="0" xfId="0" applyNumberFormat="1" applyFont="1" applyFill="1" applyAlignment="1">
      <alignment vertical="center" wrapText="1"/>
    </xf>
    <xf numFmtId="0" fontId="13" fillId="26" borderId="0" xfId="0" applyFont="1" applyFill="1" applyAlignment="1">
      <alignment horizontal="right"/>
    </xf>
    <xf numFmtId="0" fontId="13" fillId="26" borderId="0" xfId="0" quotePrefix="1" applyFont="1" applyFill="1"/>
    <xf numFmtId="166" fontId="13" fillId="26" borderId="0" xfId="1582" applyNumberFormat="1" applyFont="1" applyFill="1" applyAlignment="1">
      <alignment horizontal="right"/>
    </xf>
    <xf numFmtId="165" fontId="14" fillId="26" borderId="0" xfId="1582" applyNumberFormat="1" applyFont="1" applyFill="1" applyBorder="1" applyAlignment="1">
      <alignment horizontal="center"/>
    </xf>
    <xf numFmtId="17" fontId="14" fillId="26" borderId="0" xfId="0" applyNumberFormat="1" applyFont="1" applyFill="1" applyAlignment="1">
      <alignment horizontal="center"/>
    </xf>
    <xf numFmtId="0" fontId="21" fillId="26" borderId="0" xfId="0" applyFont="1" applyFill="1"/>
    <xf numFmtId="165" fontId="13" fillId="26" borderId="0" xfId="1582"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5" fillId="26" borderId="0" xfId="0" applyFont="1" applyFill="1"/>
    <xf numFmtId="0" fontId="0" fillId="26" borderId="0" xfId="0" applyFill="1" applyProtection="1">
      <protection locked="0"/>
    </xf>
    <xf numFmtId="0" fontId="0" fillId="26" borderId="13" xfId="0" applyFill="1" applyBorder="1"/>
    <xf numFmtId="0" fontId="4" fillId="26" borderId="0" xfId="0" applyFont="1" applyFill="1"/>
    <xf numFmtId="0" fontId="4" fillId="26" borderId="0" xfId="0" applyFont="1" applyFill="1" applyAlignment="1">
      <alignment horizontal="right"/>
    </xf>
    <xf numFmtId="0" fontId="4" fillId="26" borderId="0" xfId="0" applyFont="1" applyFill="1" applyAlignment="1">
      <alignment horizontal="left"/>
    </xf>
    <xf numFmtId="0" fontId="5" fillId="26" borderId="0" xfId="0" applyFont="1" applyFill="1" applyAlignment="1">
      <alignment horizontal="right"/>
    </xf>
    <xf numFmtId="0" fontId="20" fillId="26" borderId="0" xfId="0" quotePrefix="1" applyFont="1" applyFill="1" applyAlignment="1">
      <alignment horizontal="left"/>
    </xf>
    <xf numFmtId="43" fontId="0" fillId="26" borderId="0" xfId="0" applyNumberFormat="1" applyFill="1"/>
    <xf numFmtId="0" fontId="8" fillId="26" borderId="0" xfId="0" quotePrefix="1" applyFont="1" applyFill="1"/>
    <xf numFmtId="164" fontId="5" fillId="26" borderId="0" xfId="1582" applyNumberFormat="1" applyFont="1" applyFill="1"/>
    <xf numFmtId="164" fontId="3" fillId="26" borderId="0" xfId="1582" applyNumberFormat="1" applyFont="1" applyFill="1"/>
    <xf numFmtId="0" fontId="11" fillId="26" borderId="0" xfId="0" applyFont="1" applyFill="1" applyAlignment="1">
      <alignment horizontal="right"/>
    </xf>
    <xf numFmtId="169" fontId="8" fillId="26" borderId="0" xfId="1700" applyNumberFormat="1" applyFont="1" applyFill="1"/>
    <xf numFmtId="17" fontId="0" fillId="26" borderId="0" xfId="0" quotePrefix="1" applyNumberFormat="1" applyFill="1"/>
    <xf numFmtId="169" fontId="0" fillId="26" borderId="0" xfId="0" applyNumberFormat="1" applyFill="1"/>
    <xf numFmtId="169" fontId="12" fillId="26" borderId="0" xfId="1700" applyNumberFormat="1" applyFont="1" applyFill="1"/>
    <xf numFmtId="0" fontId="0" fillId="26" borderId="0" xfId="0" quotePrefix="1" applyFill="1"/>
    <xf numFmtId="17" fontId="0" fillId="26" borderId="0" xfId="0" applyNumberFormat="1" applyFill="1"/>
    <xf numFmtId="164" fontId="0" fillId="26" borderId="0" xfId="1582" applyNumberFormat="1" applyFont="1" applyFill="1"/>
    <xf numFmtId="166" fontId="3" fillId="26" borderId="0" xfId="1582" applyNumberFormat="1" applyFont="1" applyFill="1"/>
    <xf numFmtId="0" fontId="6" fillId="26" borderId="0" xfId="0" applyFont="1" applyFill="1"/>
    <xf numFmtId="0" fontId="0" fillId="26" borderId="0" xfId="0" applyFill="1" applyAlignment="1">
      <alignment vertical="center" wrapText="1"/>
    </xf>
    <xf numFmtId="0" fontId="0" fillId="0" borderId="11" xfId="0" applyBorder="1" applyProtection="1">
      <protection locked="0"/>
    </xf>
    <xf numFmtId="0" fontId="5" fillId="25" borderId="15" xfId="0" applyFont="1"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22" xfId="0" applyFont="1" applyFill="1" applyBorder="1" applyAlignment="1">
      <alignment horizontal="center"/>
    </xf>
    <xf numFmtId="0" fontId="5" fillId="25" borderId="24" xfId="0" applyFont="1" applyFill="1" applyBorder="1" applyAlignment="1">
      <alignment horizontal="center"/>
    </xf>
    <xf numFmtId="0" fontId="0" fillId="24" borderId="22" xfId="0" applyFill="1" applyBorder="1"/>
    <xf numFmtId="0" fontId="0" fillId="24" borderId="0" xfId="0" applyFill="1"/>
    <xf numFmtId="0" fontId="0" fillId="24" borderId="21" xfId="0" applyFill="1" applyBorder="1"/>
    <xf numFmtId="0" fontId="0" fillId="24" borderId="23" xfId="0" applyFill="1" applyBorder="1"/>
    <xf numFmtId="0" fontId="0" fillId="24" borderId="20" xfId="0" applyFill="1" applyBorder="1"/>
    <xf numFmtId="0" fontId="0" fillId="24" borderId="24" xfId="0" applyFill="1" applyBorder="1"/>
    <xf numFmtId="0" fontId="0" fillId="24" borderId="10" xfId="0" applyFill="1" applyBorder="1" applyAlignment="1">
      <alignment horizontal="center"/>
    </xf>
    <xf numFmtId="0" fontId="0" fillId="24" borderId="24" xfId="0" applyFill="1" applyBorder="1" applyAlignment="1">
      <alignment horizontal="center"/>
    </xf>
    <xf numFmtId="0" fontId="0" fillId="24" borderId="18" xfId="0" applyFill="1" applyBorder="1" applyAlignment="1">
      <alignment horizontal="center"/>
    </xf>
    <xf numFmtId="0" fontId="0" fillId="24" borderId="15" xfId="0" applyFill="1" applyBorder="1" applyAlignment="1">
      <alignment horizontal="center"/>
    </xf>
    <xf numFmtId="0" fontId="0" fillId="24" borderId="22" xfId="0" applyFill="1" applyBorder="1" applyAlignment="1">
      <alignment horizontal="center"/>
    </xf>
    <xf numFmtId="0" fontId="0" fillId="24" borderId="19" xfId="0" applyFill="1" applyBorder="1" applyAlignment="1">
      <alignment horizontal="center"/>
    </xf>
    <xf numFmtId="0" fontId="0" fillId="24" borderId="17" xfId="0" applyFill="1" applyBorder="1" applyAlignment="1">
      <alignment horizontal="center"/>
    </xf>
    <xf numFmtId="0" fontId="0" fillId="24" borderId="16" xfId="0" applyFill="1" applyBorder="1" applyAlignment="1">
      <alignment horizontal="center"/>
    </xf>
    <xf numFmtId="0" fontId="0" fillId="24" borderId="0" xfId="0" applyFill="1" applyAlignment="1">
      <alignment horizontal="center"/>
    </xf>
    <xf numFmtId="0" fontId="0" fillId="24" borderId="23" xfId="0" applyFill="1" applyBorder="1" applyAlignment="1">
      <alignment horizontal="center"/>
    </xf>
    <xf numFmtId="0" fontId="8" fillId="24" borderId="15" xfId="0" applyFont="1" applyFill="1" applyBorder="1" applyAlignment="1">
      <alignment horizontal="left"/>
    </xf>
    <xf numFmtId="0" fontId="8" fillId="24" borderId="16" xfId="0" applyFont="1" applyFill="1" applyBorder="1" applyAlignment="1">
      <alignment horizontal="left"/>
    </xf>
    <xf numFmtId="0" fontId="8" fillId="24" borderId="17" xfId="0" applyFont="1" applyFill="1" applyBorder="1" applyAlignment="1">
      <alignment horizontal="left"/>
    </xf>
    <xf numFmtId="0" fontId="8" fillId="24" borderId="15" xfId="0" applyFont="1" applyFill="1" applyBorder="1" applyAlignment="1">
      <alignment horizontal="center"/>
    </xf>
    <xf numFmtId="0" fontId="8" fillId="24" borderId="10" xfId="0" applyFont="1" applyFill="1" applyBorder="1" applyAlignment="1">
      <alignment horizontal="center"/>
    </xf>
    <xf numFmtId="0" fontId="8" fillId="24" borderId="22" xfId="0" applyFont="1" applyFill="1" applyBorder="1" applyAlignment="1">
      <alignment horizontal="left"/>
    </xf>
    <xf numFmtId="0" fontId="8" fillId="24" borderId="0" xfId="0" applyFont="1" applyFill="1" applyAlignment="1">
      <alignment horizontal="left"/>
    </xf>
    <xf numFmtId="0" fontId="8" fillId="24" borderId="21" xfId="0" applyFont="1" applyFill="1" applyBorder="1" applyAlignment="1">
      <alignment horizontal="left"/>
    </xf>
    <xf numFmtId="0" fontId="8" fillId="24" borderId="22" xfId="0" applyFont="1" applyFill="1" applyBorder="1" applyAlignment="1">
      <alignment horizontal="center"/>
    </xf>
    <xf numFmtId="0" fontId="8" fillId="24" borderId="24" xfId="0" applyFont="1" applyFill="1" applyBorder="1" applyAlignment="1">
      <alignment horizontal="center"/>
    </xf>
    <xf numFmtId="0" fontId="8" fillId="24" borderId="19" xfId="0" applyFont="1" applyFill="1" applyBorder="1" applyAlignment="1">
      <alignment horizontal="left"/>
    </xf>
    <xf numFmtId="0" fontId="8" fillId="24" borderId="23" xfId="0" applyFont="1" applyFill="1" applyBorder="1" applyAlignment="1">
      <alignment horizontal="left"/>
    </xf>
    <xf numFmtId="0" fontId="8" fillId="24" borderId="20" xfId="0" applyFont="1" applyFill="1" applyBorder="1" applyAlignment="1">
      <alignment horizontal="left"/>
    </xf>
    <xf numFmtId="0" fontId="8" fillId="24" borderId="19" xfId="0" applyFont="1" applyFill="1" applyBorder="1" applyAlignment="1">
      <alignment horizontal="center"/>
    </xf>
    <xf numFmtId="0" fontId="8" fillId="24" borderId="18" xfId="0" applyFont="1" applyFill="1" applyBorder="1" applyAlignment="1">
      <alignment horizontal="center"/>
    </xf>
    <xf numFmtId="0" fontId="0" fillId="24" borderId="24" xfId="0" quotePrefix="1" applyFill="1" applyBorder="1" applyAlignment="1">
      <alignment horizontal="center"/>
    </xf>
    <xf numFmtId="0" fontId="0" fillId="24" borderId="22" xfId="0" quotePrefix="1" applyFill="1" applyBorder="1" applyAlignment="1">
      <alignment horizontal="center"/>
    </xf>
    <xf numFmtId="0" fontId="0" fillId="26" borderId="0" xfId="0" applyFill="1" applyAlignment="1">
      <alignment horizontal="right"/>
    </xf>
    <xf numFmtId="0" fontId="0" fillId="24" borderId="22" xfId="0" quotePrefix="1" applyFill="1" applyBorder="1" applyAlignment="1">
      <alignment horizontal="left"/>
    </xf>
    <xf numFmtId="0" fontId="0" fillId="24" borderId="19" xfId="0" quotePrefix="1" applyFill="1" applyBorder="1" applyAlignment="1">
      <alignment horizontal="left"/>
    </xf>
    <xf numFmtId="0" fontId="5" fillId="25" borderId="10" xfId="0" quotePrefix="1" applyFont="1" applyFill="1" applyBorder="1" applyAlignment="1">
      <alignment horizontal="center" vertical="center"/>
    </xf>
    <xf numFmtId="0" fontId="0" fillId="24" borderId="21" xfId="0" applyFill="1" applyBorder="1" applyAlignment="1">
      <alignment horizontal="center"/>
    </xf>
    <xf numFmtId="0" fontId="0" fillId="24" borderId="22" xfId="0" applyFill="1" applyBorder="1" applyAlignment="1">
      <alignment horizontal="left"/>
    </xf>
    <xf numFmtId="0" fontId="7" fillId="26" borderId="0" xfId="0" applyFont="1" applyFill="1"/>
    <xf numFmtId="0" fontId="4" fillId="26" borderId="0" xfId="0" quotePrefix="1" applyFont="1" applyFill="1" applyAlignment="1">
      <alignment horizontal="right"/>
    </xf>
    <xf numFmtId="0" fontId="4" fillId="26" borderId="0" xfId="0" quotePrefix="1" applyFont="1" applyFill="1"/>
    <xf numFmtId="0" fontId="0" fillId="26" borderId="12" xfId="0" applyFill="1" applyBorder="1"/>
    <xf numFmtId="0" fontId="4" fillId="26" borderId="0" xfId="0" quotePrefix="1" applyFont="1" applyFill="1" applyAlignment="1">
      <alignment horizontal="left"/>
    </xf>
    <xf numFmtId="169" fontId="0" fillId="26" borderId="0" xfId="1700" applyNumberFormat="1" applyFont="1" applyFill="1" applyBorder="1"/>
    <xf numFmtId="164" fontId="3" fillId="26" borderId="0" xfId="1582" applyNumberFormat="1" applyFont="1" applyFill="1" applyBorder="1"/>
    <xf numFmtId="0" fontId="7" fillId="26" borderId="0" xfId="0" applyFont="1" applyFill="1" applyAlignment="1">
      <alignment horizontal="left" vertical="center" wrapText="1"/>
    </xf>
    <xf numFmtId="17" fontId="4" fillId="26" borderId="0" xfId="0" quotePrefix="1" applyNumberFormat="1" applyFont="1" applyFill="1"/>
    <xf numFmtId="164" fontId="3" fillId="24" borderId="11" xfId="1582" applyNumberFormat="1" applyFont="1" applyFill="1" applyBorder="1"/>
    <xf numFmtId="164" fontId="3" fillId="24" borderId="10" xfId="1582" applyNumberFormat="1" applyFont="1" applyFill="1" applyBorder="1"/>
    <xf numFmtId="0" fontId="0" fillId="24" borderId="20" xfId="0" applyFill="1" applyBorder="1" applyAlignment="1">
      <alignment horizontal="center"/>
    </xf>
    <xf numFmtId="0" fontId="5" fillId="25" borderId="22" xfId="0" applyFont="1" applyFill="1" applyBorder="1" applyAlignment="1">
      <alignment horizontal="center" vertical="center"/>
    </xf>
    <xf numFmtId="0" fontId="5" fillId="25" borderId="24" xfId="0" applyFont="1" applyFill="1" applyBorder="1" applyAlignment="1">
      <alignment horizontal="center" vertical="center"/>
    </xf>
    <xf numFmtId="169" fontId="0" fillId="26" borderId="0" xfId="1700" applyNumberFormat="1" applyFont="1" applyFill="1"/>
    <xf numFmtId="17" fontId="8" fillId="26" borderId="0" xfId="0" applyNumberFormat="1" applyFont="1" applyFill="1"/>
    <xf numFmtId="169" fontId="23" fillId="26" borderId="0" xfId="1700" applyNumberFormat="1" applyFont="1" applyFill="1"/>
    <xf numFmtId="17" fontId="0" fillId="26" borderId="0" xfId="0" applyNumberFormat="1" applyFill="1" applyAlignment="1">
      <alignment horizontal="left"/>
    </xf>
    <xf numFmtId="169" fontId="8" fillId="26" borderId="0" xfId="1700" applyNumberFormat="1" applyFont="1" applyFill="1" applyBorder="1"/>
    <xf numFmtId="0" fontId="5" fillId="25" borderId="17" xfId="0" applyFont="1" applyFill="1" applyBorder="1" applyAlignment="1">
      <alignment vertical="center"/>
    </xf>
    <xf numFmtId="0" fontId="5" fillId="25" borderId="20" xfId="0" applyFont="1" applyFill="1" applyBorder="1" applyAlignment="1">
      <alignment horizontal="center"/>
    </xf>
    <xf numFmtId="0" fontId="5" fillId="25" borderId="18" xfId="0" quotePrefix="1" applyFont="1" applyFill="1" applyBorder="1" applyAlignment="1">
      <alignment horizontal="center"/>
    </xf>
    <xf numFmtId="165" fontId="0" fillId="24" borderId="10" xfId="1582" applyNumberFormat="1" applyFont="1" applyFill="1" applyBorder="1" applyAlignment="1">
      <alignment horizontal="center"/>
    </xf>
    <xf numFmtId="165" fontId="0" fillId="24" borderId="24" xfId="1582" applyNumberFormat="1" applyFont="1" applyFill="1" applyBorder="1" applyAlignment="1">
      <alignment horizontal="center"/>
    </xf>
    <xf numFmtId="0" fontId="0" fillId="24" borderId="0" xfId="0" applyFill="1" applyAlignment="1">
      <alignment horizontal="left"/>
    </xf>
    <xf numFmtId="0" fontId="0" fillId="24" borderId="19" xfId="0" applyFill="1" applyBorder="1" applyAlignment="1">
      <alignment horizontal="left"/>
    </xf>
    <xf numFmtId="165" fontId="0" fillId="24" borderId="18" xfId="1582" applyNumberFormat="1" applyFont="1" applyFill="1" applyBorder="1" applyAlignment="1">
      <alignment horizontal="center"/>
    </xf>
    <xf numFmtId="0" fontId="5" fillId="24" borderId="15" xfId="0" applyFont="1" applyFill="1" applyBorder="1" applyAlignment="1">
      <alignment vertical="center"/>
    </xf>
    <xf numFmtId="0" fontId="5" fillId="24" borderId="16" xfId="0" applyFont="1" applyFill="1" applyBorder="1" applyAlignment="1">
      <alignment vertical="center"/>
    </xf>
    <xf numFmtId="0" fontId="5" fillId="24" borderId="0" xfId="0" applyFont="1" applyFill="1" applyAlignment="1">
      <alignment vertical="center"/>
    </xf>
    <xf numFmtId="0" fontId="5" fillId="24" borderId="21" xfId="0" applyFont="1" applyFill="1" applyBorder="1" applyAlignment="1">
      <alignment vertical="center"/>
    </xf>
    <xf numFmtId="170" fontId="5" fillId="26" borderId="0" xfId="1582" applyNumberFormat="1" applyFont="1" applyFill="1"/>
    <xf numFmtId="169" fontId="5" fillId="26" borderId="0" xfId="1700" applyNumberFormat="1" applyFont="1" applyFill="1"/>
    <xf numFmtId="164" fontId="23" fillId="26" borderId="0" xfId="1582" applyNumberFormat="1" applyFont="1" applyFill="1"/>
    <xf numFmtId="166" fontId="18" fillId="26" borderId="0" xfId="1582" applyNumberFormat="1" applyFont="1" applyFill="1"/>
    <xf numFmtId="43" fontId="24" fillId="26" borderId="0" xfId="0" applyNumberFormat="1" applyFont="1" applyFill="1"/>
    <xf numFmtId="17" fontId="5" fillId="25" borderId="17" xfId="0" applyNumberFormat="1" applyFont="1" applyFill="1" applyBorder="1" applyAlignment="1">
      <alignment vertical="center"/>
    </xf>
    <xf numFmtId="0" fontId="5" fillId="25" borderId="11" xfId="0" applyFont="1" applyFill="1" applyBorder="1" applyAlignment="1">
      <alignment vertical="center"/>
    </xf>
    <xf numFmtId="0" fontId="5" fillId="25" borderId="12" xfId="0" applyFont="1" applyFill="1" applyBorder="1" applyAlignment="1">
      <alignment horizontal="left"/>
    </xf>
    <xf numFmtId="0" fontId="0" fillId="26" borderId="0" xfId="0" applyFill="1" applyAlignment="1">
      <alignment vertical="top"/>
    </xf>
    <xf numFmtId="14" fontId="0" fillId="0" borderId="11" xfId="0" applyNumberFormat="1" applyBorder="1" applyAlignment="1">
      <alignment vertical="top"/>
    </xf>
    <xf numFmtId="0" fontId="0" fillId="0" borderId="11" xfId="0" applyBorder="1" applyAlignment="1">
      <alignment vertical="top"/>
    </xf>
    <xf numFmtId="0" fontId="25" fillId="26" borderId="0" xfId="0" applyFont="1" applyFill="1"/>
    <xf numFmtId="0" fontId="16" fillId="26" borderId="0" xfId="0" applyFont="1" applyFill="1"/>
    <xf numFmtId="0" fontId="13" fillId="26" borderId="0" xfId="0" applyFont="1" applyFill="1" applyAlignment="1">
      <alignment vertical="top"/>
    </xf>
    <xf numFmtId="0" fontId="7" fillId="26" borderId="0" xfId="0" quotePrefix="1" applyFont="1" applyFill="1" applyAlignment="1">
      <alignment horizontal="left"/>
    </xf>
    <xf numFmtId="0" fontId="0" fillId="0" borderId="11" xfId="0" applyBorder="1" applyAlignment="1">
      <alignment horizontal="right" vertical="top"/>
    </xf>
    <xf numFmtId="43" fontId="0" fillId="24" borderId="11" xfId="1582" applyFont="1" applyFill="1" applyBorder="1"/>
    <xf numFmtId="2" fontId="0" fillId="24" borderId="11" xfId="1582" applyNumberFormat="1" applyFont="1" applyFill="1" applyBorder="1"/>
    <xf numFmtId="43" fontId="0" fillId="24" borderId="14" xfId="1582" applyFont="1" applyFill="1" applyBorder="1"/>
    <xf numFmtId="0" fontId="0" fillId="27" borderId="11" xfId="0" applyFill="1" applyBorder="1" applyProtection="1">
      <protection locked="0"/>
    </xf>
    <xf numFmtId="165" fontId="0" fillId="27" borderId="11" xfId="1582" applyNumberFormat="1" applyFont="1" applyFill="1" applyBorder="1" applyProtection="1">
      <protection locked="0"/>
    </xf>
    <xf numFmtId="0" fontId="0" fillId="27" borderId="11" xfId="0" applyFill="1" applyBorder="1" applyAlignment="1" applyProtection="1">
      <alignment horizontal="right"/>
      <protection locked="0"/>
    </xf>
    <xf numFmtId="164" fontId="0" fillId="27" borderId="11" xfId="1582" applyNumberFormat="1" applyFont="1" applyFill="1" applyBorder="1" applyProtection="1">
      <protection locked="0"/>
    </xf>
    <xf numFmtId="0" fontId="0" fillId="27" borderId="11" xfId="0" applyFill="1" applyBorder="1" applyAlignment="1" applyProtection="1">
      <alignment horizontal="center"/>
      <protection locked="0"/>
    </xf>
    <xf numFmtId="0" fontId="5" fillId="26" borderId="15" xfId="0" applyFont="1" applyFill="1" applyBorder="1" applyAlignment="1">
      <alignment horizontal="center" vertical="center"/>
    </xf>
    <xf numFmtId="0" fontId="0" fillId="26" borderId="16" xfId="0" applyFill="1" applyBorder="1"/>
    <xf numFmtId="0" fontId="0" fillId="26" borderId="17" xfId="0" applyFill="1" applyBorder="1"/>
    <xf numFmtId="0" fontId="0" fillId="26" borderId="15" xfId="0" applyFill="1" applyBorder="1"/>
    <xf numFmtId="0" fontId="0" fillId="26" borderId="22" xfId="0" applyFill="1" applyBorder="1"/>
    <xf numFmtId="0" fontId="0" fillId="26" borderId="21" xfId="0" applyFill="1" applyBorder="1"/>
    <xf numFmtId="0" fontId="0" fillId="26" borderId="19" xfId="0" applyFill="1" applyBorder="1"/>
    <xf numFmtId="0" fontId="0" fillId="26" borderId="23" xfId="0" applyFill="1" applyBorder="1"/>
    <xf numFmtId="0" fontId="0" fillId="26" borderId="20" xfId="0" applyFill="1" applyBorder="1"/>
    <xf numFmtId="0" fontId="0" fillId="26" borderId="17" xfId="0" applyFill="1" applyBorder="1" applyAlignment="1">
      <alignment horizontal="center"/>
    </xf>
    <xf numFmtId="0" fontId="5" fillId="26" borderId="10" xfId="0" applyFont="1" applyFill="1" applyBorder="1" applyAlignment="1">
      <alignment horizontal="center" vertical="center"/>
    </xf>
    <xf numFmtId="0" fontId="5" fillId="26" borderId="11" xfId="0" applyFont="1" applyFill="1" applyBorder="1" applyAlignment="1">
      <alignment horizontal="center" vertical="center"/>
    </xf>
    <xf numFmtId="0" fontId="5" fillId="26" borderId="22" xfId="0" applyFont="1" applyFill="1" applyBorder="1" applyAlignment="1">
      <alignment horizontal="center"/>
    </xf>
    <xf numFmtId="0" fontId="5" fillId="26" borderId="24" xfId="0" applyFont="1" applyFill="1" applyBorder="1" applyAlignment="1">
      <alignment horizontal="center"/>
    </xf>
    <xf numFmtId="0" fontId="0" fillId="26" borderId="10" xfId="0" applyFill="1" applyBorder="1" applyAlignment="1">
      <alignment horizontal="center"/>
    </xf>
    <xf numFmtId="0" fontId="8" fillId="26" borderId="15" xfId="0" applyFont="1" applyFill="1" applyBorder="1" applyAlignment="1">
      <alignment horizontal="left"/>
    </xf>
    <xf numFmtId="0" fontId="8" fillId="26" borderId="16" xfId="0" applyFont="1" applyFill="1" applyBorder="1" applyAlignment="1">
      <alignment horizontal="left"/>
    </xf>
    <xf numFmtId="0" fontId="8" fillId="26" borderId="17" xfId="0" applyFont="1" applyFill="1" applyBorder="1" applyAlignment="1">
      <alignment horizontal="left"/>
    </xf>
    <xf numFmtId="0" fontId="8" fillId="26" borderId="16" xfId="0" applyFont="1" applyFill="1" applyBorder="1" applyAlignment="1">
      <alignment horizontal="center"/>
    </xf>
    <xf numFmtId="0" fontId="8" fillId="26" borderId="10" xfId="0" applyFont="1" applyFill="1" applyBorder="1" applyAlignment="1">
      <alignment horizontal="center"/>
    </xf>
    <xf numFmtId="0" fontId="0" fillId="26" borderId="24" xfId="0" applyFill="1" applyBorder="1" applyAlignment="1">
      <alignment horizontal="center"/>
    </xf>
    <xf numFmtId="0" fontId="0" fillId="26" borderId="21" xfId="0" applyFill="1" applyBorder="1" applyAlignment="1">
      <alignment horizontal="center"/>
    </xf>
    <xf numFmtId="0" fontId="8" fillId="26" borderId="22" xfId="0" applyFont="1" applyFill="1" applyBorder="1" applyAlignment="1">
      <alignment horizontal="left"/>
    </xf>
    <xf numFmtId="0" fontId="8" fillId="26" borderId="0" xfId="0" applyFont="1" applyFill="1" applyAlignment="1">
      <alignment horizontal="left"/>
    </xf>
    <xf numFmtId="0" fontId="8" fillId="26" borderId="21" xfId="0" applyFont="1" applyFill="1" applyBorder="1" applyAlignment="1">
      <alignment horizontal="left"/>
    </xf>
    <xf numFmtId="0" fontId="8" fillId="26" borderId="0" xfId="0" applyFont="1" applyFill="1" applyAlignment="1">
      <alignment horizontal="center"/>
    </xf>
    <xf numFmtId="0" fontId="8" fillId="26" borderId="24" xfId="0" applyFont="1" applyFill="1" applyBorder="1" applyAlignment="1">
      <alignment horizontal="center"/>
    </xf>
    <xf numFmtId="0" fontId="0" fillId="26" borderId="18" xfId="0" applyFill="1" applyBorder="1" applyAlignment="1">
      <alignment horizontal="center"/>
    </xf>
    <xf numFmtId="0" fontId="0" fillId="26" borderId="20" xfId="0" applyFill="1" applyBorder="1" applyAlignment="1">
      <alignment horizontal="center"/>
    </xf>
    <xf numFmtId="0" fontId="8" fillId="26" borderId="19" xfId="0" applyFont="1" applyFill="1" applyBorder="1" applyAlignment="1">
      <alignment horizontal="left"/>
    </xf>
    <xf numFmtId="0" fontId="8" fillId="26" borderId="23" xfId="0" applyFont="1" applyFill="1" applyBorder="1" applyAlignment="1">
      <alignment horizontal="left"/>
    </xf>
    <xf numFmtId="0" fontId="8" fillId="26" borderId="20" xfId="0" applyFont="1" applyFill="1" applyBorder="1" applyAlignment="1">
      <alignment horizontal="left"/>
    </xf>
    <xf numFmtId="0" fontId="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7" fillId="26" borderId="0" xfId="0" quotePrefix="1" applyFont="1" applyFill="1" applyAlignment="1">
      <alignment horizontal="left" vertical="center"/>
    </xf>
    <xf numFmtId="0" fontId="8" fillId="26" borderId="0" xfId="0" quotePrefix="1" applyFont="1" applyFill="1" applyAlignment="1">
      <alignment horizontal="left" vertical="center" wrapText="1"/>
    </xf>
    <xf numFmtId="0" fontId="8" fillId="26" borderId="0" xfId="0" applyFont="1" applyFill="1"/>
    <xf numFmtId="171" fontId="8" fillId="26" borderId="0" xfId="0" applyNumberFormat="1" applyFont="1" applyFill="1" applyProtection="1">
      <protection locked="0"/>
    </xf>
    <xf numFmtId="0" fontId="8" fillId="26" borderId="0" xfId="0" quotePrefix="1" applyFont="1" applyFill="1" applyAlignment="1">
      <alignment vertical="center" wrapText="1"/>
    </xf>
    <xf numFmtId="17" fontId="8" fillId="25" borderId="11" xfId="0" quotePrefix="1" applyNumberFormat="1" applyFont="1" applyFill="1" applyBorder="1" applyAlignment="1">
      <alignment horizontal="center" vertical="center" wrapText="1"/>
    </xf>
    <xf numFmtId="165" fontId="8" fillId="24" borderId="11" xfId="1582" quotePrefix="1" applyNumberFormat="1" applyFont="1" applyFill="1" applyBorder="1" applyAlignment="1">
      <alignment horizontal="left" vertical="center" wrapText="1"/>
    </xf>
    <xf numFmtId="0" fontId="8" fillId="26" borderId="0" xfId="0" applyFont="1" applyFill="1" applyAlignment="1">
      <alignment horizontal="right" vertical="center" wrapText="1"/>
    </xf>
    <xf numFmtId="165" fontId="8" fillId="26" borderId="0" xfId="1582" quotePrefix="1" applyNumberFormat="1" applyFont="1" applyFill="1" applyAlignment="1">
      <alignment horizontal="left" vertical="center" wrapText="1"/>
    </xf>
    <xf numFmtId="17" fontId="8" fillId="26" borderId="0" xfId="0" quotePrefix="1" applyNumberFormat="1" applyFont="1" applyFill="1" applyAlignment="1">
      <alignment horizontal="left" vertical="center" wrapText="1"/>
    </xf>
    <xf numFmtId="0" fontId="5" fillId="26" borderId="0" xfId="0" applyFont="1" applyFill="1" applyAlignment="1">
      <alignment vertical="center"/>
    </xf>
    <xf numFmtId="17" fontId="5" fillId="25" borderId="14" xfId="0" applyNumberFormat="1" applyFont="1" applyFill="1" applyBorder="1" applyAlignment="1">
      <alignment horizontal="center" vertical="center" wrapText="1"/>
    </xf>
    <xf numFmtId="17" fontId="5" fillId="25" borderId="11" xfId="0" applyNumberFormat="1" applyFont="1" applyFill="1" applyBorder="1" applyAlignment="1">
      <alignment horizontal="center" vertical="center" wrapText="1"/>
    </xf>
    <xf numFmtId="43" fontId="8" fillId="24" borderId="12" xfId="1582" applyFont="1" applyFill="1" applyBorder="1"/>
    <xf numFmtId="165" fontId="5" fillId="24" borderId="11" xfId="0" applyNumberFormat="1" applyFont="1" applyFill="1" applyBorder="1"/>
    <xf numFmtId="165" fontId="23" fillId="26" borderId="0" xfId="1582" applyNumberFormat="1" applyFont="1" applyFill="1"/>
    <xf numFmtId="165" fontId="8" fillId="26" borderId="0" xfId="1582" applyNumberFormat="1" applyFont="1" applyFill="1"/>
    <xf numFmtId="165" fontId="8" fillId="26" borderId="0" xfId="0" applyNumberFormat="1" applyFont="1" applyFill="1"/>
    <xf numFmtId="0" fontId="8" fillId="24" borderId="12" xfId="0" applyFont="1" applyFill="1" applyBorder="1" applyAlignment="1">
      <alignment vertical="top"/>
    </xf>
    <xf numFmtId="9" fontId="8" fillId="24" borderId="11" xfId="0" applyNumberFormat="1" applyFont="1" applyFill="1" applyBorder="1" applyAlignment="1">
      <alignment vertical="top" wrapText="1"/>
    </xf>
    <xf numFmtId="0" fontId="8" fillId="25" borderId="25" xfId="0" applyFont="1" applyFill="1" applyBorder="1"/>
    <xf numFmtId="0" fontId="44" fillId="24" borderId="26" xfId="2854" applyFont="1" applyFill="1" applyBorder="1" applyAlignment="1">
      <alignment horizontal="left"/>
    </xf>
    <xf numFmtId="0" fontId="8" fillId="24" borderId="27" xfId="0" applyFont="1" applyFill="1" applyBorder="1"/>
    <xf numFmtId="3" fontId="44" fillId="24" borderId="28" xfId="1582" applyNumberFormat="1" applyFont="1" applyFill="1" applyBorder="1" applyAlignment="1" applyProtection="1">
      <alignment horizontal="right"/>
      <protection locked="0"/>
    </xf>
    <xf numFmtId="0" fontId="44" fillId="24" borderId="29" xfId="2854" applyFont="1" applyFill="1" applyBorder="1" applyAlignment="1">
      <alignment horizontal="left"/>
    </xf>
    <xf numFmtId="0" fontId="8" fillId="24" borderId="30" xfId="0" applyFont="1" applyFill="1" applyBorder="1"/>
    <xf numFmtId="3" fontId="44" fillId="24" borderId="31" xfId="1582" applyNumberFormat="1" applyFont="1" applyFill="1" applyBorder="1" applyAlignment="1" applyProtection="1">
      <alignment horizontal="right"/>
      <protection locked="0"/>
    </xf>
    <xf numFmtId="0" fontId="44" fillId="24" borderId="32" xfId="2854" applyFont="1" applyFill="1" applyBorder="1" applyAlignment="1">
      <alignment horizontal="left"/>
    </xf>
    <xf numFmtId="0" fontId="8" fillId="24" borderId="33" xfId="0" applyFont="1" applyFill="1" applyBorder="1"/>
    <xf numFmtId="3" fontId="44" fillId="24" borderId="34" xfId="1582" applyNumberFormat="1" applyFont="1" applyFill="1" applyBorder="1" applyAlignment="1" applyProtection="1">
      <alignment horizontal="right"/>
      <protection locked="0"/>
    </xf>
    <xf numFmtId="0" fontId="5" fillId="26" borderId="0" xfId="0" applyFont="1" applyFill="1" applyAlignment="1">
      <alignment horizontal="left" vertical="center"/>
    </xf>
    <xf numFmtId="0" fontId="45" fillId="26" borderId="0" xfId="0" applyFont="1" applyFill="1"/>
    <xf numFmtId="0" fontId="45" fillId="26" borderId="0" xfId="0" quotePrefix="1" applyFont="1" applyFill="1" applyAlignment="1">
      <alignment horizontal="left"/>
    </xf>
    <xf numFmtId="0" fontId="5" fillId="26" borderId="0" xfId="0" quotePrefix="1" applyFont="1" applyFill="1" applyAlignment="1">
      <alignment horizontal="left" vertical="center" wrapText="1"/>
    </xf>
    <xf numFmtId="0" fontId="5" fillId="26" borderId="0" xfId="0" applyFont="1" applyFill="1" applyAlignment="1">
      <alignment horizontal="left" vertical="center" wrapText="1"/>
    </xf>
    <xf numFmtId="0" fontId="8" fillId="26" borderId="0" xfId="0" applyFont="1" applyFill="1" applyAlignment="1">
      <alignment horizontal="right"/>
    </xf>
    <xf numFmtId="0" fontId="45" fillId="26" borderId="0" xfId="0" applyFont="1" applyFill="1" applyProtection="1">
      <protection locked="0"/>
    </xf>
    <xf numFmtId="0" fontId="8" fillId="26" borderId="0" xfId="0" applyFont="1" applyFill="1" applyAlignment="1">
      <alignment horizontal="left" vertical="center"/>
    </xf>
    <xf numFmtId="9" fontId="45" fillId="26" borderId="0" xfId="2974" applyFont="1" applyFill="1" applyAlignment="1">
      <alignment horizontal="left"/>
    </xf>
    <xf numFmtId="9" fontId="45" fillId="24" borderId="12" xfId="2974" quotePrefix="1" applyFont="1" applyFill="1" applyBorder="1" applyAlignment="1">
      <alignment horizontal="right"/>
    </xf>
    <xf numFmtId="0" fontId="45" fillId="26" borderId="0" xfId="0" quotePrefix="1" applyFont="1" applyFill="1" applyAlignment="1">
      <alignment horizontal="right"/>
    </xf>
    <xf numFmtId="17" fontId="45" fillId="26" borderId="0" xfId="0" applyNumberFormat="1" applyFont="1" applyFill="1"/>
    <xf numFmtId="0" fontId="45" fillId="24" borderId="13" xfId="0" applyFont="1" applyFill="1" applyBorder="1"/>
    <xf numFmtId="0" fontId="45" fillId="24" borderId="14" xfId="0" applyFont="1" applyFill="1" applyBorder="1"/>
    <xf numFmtId="165" fontId="45" fillId="24" borderId="14" xfId="1582" applyNumberFormat="1" applyFont="1" applyFill="1" applyBorder="1"/>
    <xf numFmtId="9" fontId="45" fillId="24" borderId="15" xfId="2974" quotePrefix="1" applyFont="1" applyFill="1" applyBorder="1"/>
    <xf numFmtId="165" fontId="45" fillId="24" borderId="10" xfId="1582" applyNumberFormat="1" applyFont="1" applyFill="1" applyBorder="1"/>
    <xf numFmtId="165" fontId="45" fillId="24" borderId="11" xfId="1582" applyNumberFormat="1" applyFont="1" applyFill="1" applyBorder="1"/>
    <xf numFmtId="165" fontId="45" fillId="24" borderId="24" xfId="1582" applyNumberFormat="1" applyFont="1" applyFill="1" applyBorder="1"/>
    <xf numFmtId="0" fontId="46" fillId="26" borderId="0" xfId="0" applyFont="1" applyFill="1"/>
    <xf numFmtId="0" fontId="47" fillId="26" borderId="0" xfId="0" applyFont="1" applyFill="1"/>
    <xf numFmtId="165" fontId="45" fillId="26" borderId="0" xfId="1582" applyNumberFormat="1" applyFont="1" applyFill="1"/>
    <xf numFmtId="0" fontId="48" fillId="26" borderId="0" xfId="2022" applyFont="1" applyFill="1" applyAlignment="1" applyProtection="1">
      <alignment vertical="center"/>
    </xf>
    <xf numFmtId="0" fontId="49" fillId="26" borderId="0" xfId="0" applyFont="1" applyFill="1"/>
    <xf numFmtId="0" fontId="50" fillId="25" borderId="35" xfId="2854" applyFont="1" applyFill="1" applyBorder="1" applyAlignment="1">
      <alignment horizontal="center" vertical="center"/>
    </xf>
    <xf numFmtId="0" fontId="50" fillId="25" borderId="25" xfId="2854" applyFont="1" applyFill="1" applyBorder="1" applyAlignment="1">
      <alignment horizontal="center" vertical="center"/>
    </xf>
    <xf numFmtId="0" fontId="51" fillId="26" borderId="0" xfId="0" applyFont="1" applyFill="1"/>
    <xf numFmtId="0" fontId="13" fillId="24" borderId="17" xfId="0" quotePrefix="1" applyFont="1" applyFill="1" applyBorder="1" applyAlignment="1">
      <alignment horizontal="center"/>
    </xf>
    <xf numFmtId="0" fontId="13" fillId="24" borderId="21" xfId="0" quotePrefix="1" applyFont="1" applyFill="1" applyBorder="1" applyAlignment="1">
      <alignment horizontal="center"/>
    </xf>
    <xf numFmtId="0" fontId="13" fillId="24" borderId="20" xfId="0" applyFont="1" applyFill="1" applyBorder="1" applyAlignment="1">
      <alignment horizontal="center"/>
    </xf>
    <xf numFmtId="0" fontId="17" fillId="24" borderId="10" xfId="0" applyFont="1" applyFill="1" applyBorder="1" applyAlignment="1">
      <alignment vertical="center"/>
    </xf>
    <xf numFmtId="165" fontId="13" fillId="24" borderId="24" xfId="1582" applyNumberFormat="1" applyFont="1" applyFill="1" applyBorder="1" applyAlignment="1">
      <alignment horizontal="right"/>
    </xf>
    <xf numFmtId="165" fontId="13" fillId="24" borderId="10" xfId="1582" applyNumberFormat="1" applyFont="1" applyFill="1" applyBorder="1" applyAlignment="1">
      <alignment horizontal="right"/>
    </xf>
    <xf numFmtId="0" fontId="8" fillId="24" borderId="10" xfId="0" applyFont="1" applyFill="1" applyBorder="1" applyAlignment="1">
      <alignment vertical="center"/>
    </xf>
    <xf numFmtId="165" fontId="8" fillId="24" borderId="24" xfId="1582" applyNumberFormat="1" applyFont="1" applyFill="1" applyBorder="1" applyAlignment="1" applyProtection="1">
      <alignment horizontal="right"/>
    </xf>
    <xf numFmtId="165" fontId="8" fillId="24" borderId="18" xfId="1582" applyNumberFormat="1" applyFont="1" applyFill="1" applyBorder="1" applyAlignment="1" applyProtection="1">
      <alignment horizontal="right" vertical="center"/>
    </xf>
    <xf numFmtId="165" fontId="8" fillId="24" borderId="10" xfId="1582" applyNumberFormat="1" applyFont="1" applyFill="1" applyBorder="1" applyAlignment="1" applyProtection="1">
      <alignment horizontal="right" vertical="center" wrapText="1"/>
    </xf>
    <xf numFmtId="165" fontId="8" fillId="24" borderId="11" xfId="1582" applyNumberFormat="1" applyFont="1" applyFill="1" applyBorder="1" applyAlignment="1" applyProtection="1">
      <alignment horizontal="right"/>
    </xf>
    <xf numFmtId="165" fontId="8" fillId="24" borderId="18" xfId="1582" applyNumberFormat="1" applyFont="1" applyFill="1" applyBorder="1" applyAlignment="1" applyProtection="1">
      <alignment horizontal="right"/>
    </xf>
    <xf numFmtId="17" fontId="13" fillId="24" borderId="14" xfId="0" applyNumberFormat="1" applyFont="1" applyFill="1" applyBorder="1" applyAlignment="1">
      <alignment horizontal="center" vertical="center"/>
    </xf>
    <xf numFmtId="17" fontId="13" fillId="24" borderId="24" xfId="0" applyNumberFormat="1" applyFont="1" applyFill="1" applyBorder="1" applyAlignment="1">
      <alignment horizontal="center"/>
    </xf>
    <xf numFmtId="0" fontId="8" fillId="24" borderId="11" xfId="0" quotePrefix="1" applyFont="1" applyFill="1" applyBorder="1" applyAlignment="1">
      <alignment horizontal="center"/>
    </xf>
    <xf numFmtId="168" fontId="8" fillId="24" borderId="11" xfId="1582" quotePrefix="1" applyNumberFormat="1" applyFont="1" applyFill="1" applyBorder="1" applyAlignment="1">
      <alignment horizontal="center"/>
    </xf>
    <xf numFmtId="0" fontId="0" fillId="26" borderId="0" xfId="0" quotePrefix="1" applyFill="1" applyAlignment="1">
      <alignment vertical="top"/>
    </xf>
    <xf numFmtId="0" fontId="0" fillId="26" borderId="0" xfId="0" quotePrefix="1" applyFill="1" applyAlignment="1">
      <alignment horizontal="left" vertical="top" indent="2"/>
    </xf>
    <xf numFmtId="164" fontId="0" fillId="24" borderId="11" xfId="1582" applyNumberFormat="1" applyFont="1" applyFill="1" applyBorder="1" applyProtection="1"/>
    <xf numFmtId="164" fontId="5" fillId="24" borderId="11" xfId="1582" applyNumberFormat="1" applyFont="1" applyFill="1" applyBorder="1" applyProtection="1"/>
    <xf numFmtId="164" fontId="0" fillId="27" borderId="11" xfId="1582" applyNumberFormat="1" applyFont="1" applyFill="1" applyBorder="1" applyProtection="1"/>
    <xf numFmtId="0" fontId="7" fillId="26" borderId="0" xfId="0" applyFont="1" applyFill="1" applyAlignment="1">
      <alignment vertical="center"/>
    </xf>
    <xf numFmtId="2" fontId="0" fillId="0" borderId="11" xfId="0" applyNumberFormat="1" applyBorder="1" applyAlignment="1">
      <alignment vertical="top"/>
    </xf>
    <xf numFmtId="0" fontId="3" fillId="24" borderId="24" xfId="0" applyFont="1" applyFill="1" applyBorder="1" applyAlignment="1">
      <alignment horizontal="center"/>
    </xf>
    <xf numFmtId="0" fontId="3" fillId="26" borderId="0" xfId="0" quotePrefix="1" applyFont="1" applyFill="1" applyAlignment="1">
      <alignment horizontal="right"/>
    </xf>
    <xf numFmtId="0" fontId="3" fillId="26" borderId="0" xfId="2842" quotePrefix="1" applyFill="1" applyAlignment="1">
      <alignment horizontal="right"/>
    </xf>
    <xf numFmtId="0" fontId="5" fillId="26" borderId="0" xfId="2842" applyFont="1" applyFill="1"/>
    <xf numFmtId="0" fontId="3" fillId="24" borderId="16" xfId="2778" applyFill="1" applyBorder="1"/>
    <xf numFmtId="0" fontId="3" fillId="24" borderId="17" xfId="2778" applyFill="1" applyBorder="1"/>
    <xf numFmtId="0" fontId="3" fillId="24" borderId="15" xfId="2778" applyFill="1" applyBorder="1"/>
    <xf numFmtId="0" fontId="3" fillId="24" borderId="19" xfId="2778" applyFill="1" applyBorder="1"/>
    <xf numFmtId="0" fontId="3" fillId="24" borderId="22" xfId="2778" applyFill="1" applyBorder="1"/>
    <xf numFmtId="0" fontId="3" fillId="24" borderId="0" xfId="2778" applyFill="1"/>
    <xf numFmtId="0" fontId="3" fillId="24" borderId="21" xfId="2778" applyFill="1" applyBorder="1"/>
    <xf numFmtId="0" fontId="3" fillId="24" borderId="23" xfId="2778" applyFill="1" applyBorder="1"/>
    <xf numFmtId="0" fontId="3" fillId="24" borderId="20" xfId="2778" applyFill="1" applyBorder="1"/>
    <xf numFmtId="0" fontId="6" fillId="26" borderId="0" xfId="2778" applyFont="1" applyFill="1"/>
    <xf numFmtId="14" fontId="3" fillId="0" borderId="11" xfId="2692" applyNumberFormat="1" applyBorder="1" applyAlignment="1">
      <alignment vertical="top"/>
    </xf>
    <xf numFmtId="0" fontId="3" fillId="0" borderId="11" xfId="2692" applyBorder="1" applyAlignment="1">
      <alignment vertical="top"/>
    </xf>
    <xf numFmtId="14" fontId="3" fillId="0" borderId="11" xfId="2693" applyNumberFormat="1" applyBorder="1" applyAlignment="1">
      <alignment vertical="top"/>
    </xf>
    <xf numFmtId="0" fontId="3" fillId="0" borderId="11" xfId="2693" applyBorder="1" applyAlignment="1">
      <alignment vertical="top"/>
    </xf>
    <xf numFmtId="14" fontId="3" fillId="0" borderId="11" xfId="2697" applyNumberFormat="1" applyBorder="1" applyAlignment="1">
      <alignment vertical="top"/>
    </xf>
    <xf numFmtId="172" fontId="3" fillId="0" borderId="11" xfId="2697" applyBorder="1" applyAlignment="1">
      <alignment vertical="top"/>
    </xf>
    <xf numFmtId="0" fontId="3" fillId="24" borderId="24" xfId="2723" applyFill="1" applyBorder="1" applyAlignment="1">
      <alignment horizontal="center"/>
    </xf>
    <xf numFmtId="0" fontId="11" fillId="26" borderId="0" xfId="0" applyFont="1" applyFill="1" applyAlignment="1">
      <alignment vertical="top"/>
    </xf>
    <xf numFmtId="14" fontId="54" fillId="0" borderId="11" xfId="2184" applyNumberFormat="1" applyBorder="1" applyAlignment="1">
      <alignment vertical="top"/>
    </xf>
    <xf numFmtId="0" fontId="54" fillId="0" borderId="11" xfId="2184" applyBorder="1" applyAlignment="1">
      <alignment vertical="top"/>
    </xf>
    <xf numFmtId="43" fontId="13" fillId="24" borderId="24" xfId="1582" applyFont="1" applyFill="1" applyBorder="1" applyAlignment="1">
      <alignment horizontal="right"/>
    </xf>
    <xf numFmtId="43" fontId="13" fillId="24" borderId="0" xfId="1582" applyFont="1" applyFill="1" applyBorder="1" applyAlignment="1">
      <alignment horizontal="right"/>
    </xf>
    <xf numFmtId="43" fontId="13" fillId="24" borderId="18" xfId="1582" applyFont="1" applyFill="1" applyBorder="1" applyAlignment="1">
      <alignment horizontal="right"/>
    </xf>
    <xf numFmtId="43" fontId="13" fillId="24" borderId="23" xfId="1582" applyFont="1" applyFill="1" applyBorder="1" applyAlignment="1">
      <alignment horizontal="right"/>
    </xf>
    <xf numFmtId="43" fontId="13" fillId="24" borderId="11" xfId="1582" applyFont="1" applyFill="1" applyBorder="1" applyAlignment="1">
      <alignment horizontal="right"/>
    </xf>
    <xf numFmtId="43" fontId="13" fillId="24" borderId="10" xfId="1582" applyFont="1" applyFill="1" applyBorder="1" applyAlignment="1">
      <alignment horizontal="right"/>
    </xf>
    <xf numFmtId="43" fontId="13" fillId="24" borderId="16" xfId="1582" applyFont="1" applyFill="1" applyBorder="1" applyAlignment="1">
      <alignment horizontal="right"/>
    </xf>
    <xf numFmtId="43" fontId="15" fillId="24" borderId="12" xfId="1700" applyNumberFormat="1" applyFont="1" applyFill="1" applyBorder="1" applyAlignment="1">
      <alignment vertical="center"/>
    </xf>
    <xf numFmtId="0" fontId="17" fillId="24" borderId="15" xfId="0" applyFont="1" applyFill="1" applyBorder="1" applyAlignment="1">
      <alignment vertical="center"/>
    </xf>
    <xf numFmtId="43" fontId="13" fillId="24" borderId="22" xfId="1582" applyFont="1" applyFill="1" applyBorder="1" applyAlignment="1">
      <alignment horizontal="right"/>
    </xf>
    <xf numFmtId="43" fontId="13" fillId="24" borderId="19" xfId="1582" applyFont="1" applyFill="1" applyBorder="1" applyAlignment="1">
      <alignment horizontal="right"/>
    </xf>
    <xf numFmtId="43" fontId="13" fillId="24" borderId="12" xfId="1582" applyFont="1" applyFill="1" applyBorder="1" applyAlignment="1">
      <alignment horizontal="right"/>
    </xf>
    <xf numFmtId="14" fontId="3" fillId="0" borderId="11" xfId="2695" applyNumberFormat="1" applyBorder="1" applyAlignment="1">
      <alignment vertical="top"/>
    </xf>
    <xf numFmtId="172" fontId="3" fillId="0" borderId="11" xfId="2695" applyBorder="1" applyAlignment="1">
      <alignment vertical="top"/>
    </xf>
    <xf numFmtId="0" fontId="0" fillId="0" borderId="11" xfId="0" quotePrefix="1" applyBorder="1" applyAlignment="1">
      <alignment horizontal="right" vertical="top"/>
    </xf>
    <xf numFmtId="0" fontId="3" fillId="26" borderId="0" xfId="0" applyFont="1" applyFill="1"/>
    <xf numFmtId="14" fontId="3" fillId="0" borderId="11" xfId="2181" applyNumberFormat="1" applyBorder="1" applyAlignment="1">
      <alignment vertical="top"/>
    </xf>
    <xf numFmtId="172" fontId="3" fillId="0" borderId="11" xfId="2181" applyBorder="1" applyAlignment="1">
      <alignment vertical="top"/>
    </xf>
    <xf numFmtId="49" fontId="3" fillId="0" borderId="11" xfId="0" applyNumberFormat="1" applyFont="1" applyBorder="1" applyAlignment="1">
      <alignment vertical="top"/>
    </xf>
    <xf numFmtId="174" fontId="13" fillId="24" borderId="17" xfId="0" applyNumberFormat="1" applyFont="1" applyFill="1" applyBorder="1" applyAlignment="1">
      <alignment horizontal="center" vertical="center" wrapText="1"/>
    </xf>
    <xf numFmtId="174" fontId="13" fillId="24" borderId="21" xfId="1582" applyNumberFormat="1" applyFont="1" applyFill="1" applyBorder="1" applyAlignment="1">
      <alignment horizontal="right"/>
    </xf>
    <xf numFmtId="174" fontId="13" fillId="24" borderId="20" xfId="1582" applyNumberFormat="1" applyFont="1" applyFill="1" applyBorder="1" applyAlignment="1">
      <alignment horizontal="right"/>
    </xf>
    <xf numFmtId="174" fontId="13" fillId="24" borderId="0" xfId="1582" applyNumberFormat="1" applyFont="1" applyFill="1" applyBorder="1" applyAlignment="1">
      <alignment horizontal="right"/>
    </xf>
    <xf numFmtId="174" fontId="13" fillId="24" borderId="14" xfId="1582" applyNumberFormat="1" applyFont="1" applyFill="1" applyBorder="1" applyAlignment="1">
      <alignment horizontal="right"/>
    </xf>
    <xf numFmtId="174" fontId="13" fillId="24" borderId="17" xfId="1582" applyNumberFormat="1" applyFont="1" applyFill="1" applyBorder="1" applyAlignment="1">
      <alignment horizontal="right"/>
    </xf>
    <xf numFmtId="173" fontId="13" fillId="28" borderId="11" xfId="2764" applyNumberFormat="1" applyFont="1" applyFill="1" applyBorder="1" applyAlignment="1">
      <alignment horizontal="center" vertical="top" wrapText="1"/>
    </xf>
    <xf numFmtId="167" fontId="13" fillId="28" borderId="10" xfId="2764" quotePrefix="1" applyNumberFormat="1" applyFont="1" applyFill="1" applyBorder="1" applyAlignment="1">
      <alignment horizontal="center" vertical="center"/>
    </xf>
    <xf numFmtId="167" fontId="13" fillId="28" borderId="18" xfId="2764" applyNumberFormat="1" applyFont="1" applyFill="1" applyBorder="1" applyAlignment="1">
      <alignment horizontal="center" vertical="center"/>
    </xf>
    <xf numFmtId="0" fontId="3" fillId="0" borderId="11" xfId="0" quotePrefix="1" applyFont="1" applyBorder="1" applyAlignment="1">
      <alignment vertical="top"/>
    </xf>
    <xf numFmtId="0" fontId="0" fillId="26" borderId="0" xfId="0" quotePrefix="1" applyFill="1" applyAlignment="1">
      <alignment horizontal="left" vertical="top" wrapText="1"/>
    </xf>
    <xf numFmtId="0" fontId="14" fillId="25" borderId="12" xfId="0" applyFont="1" applyFill="1" applyBorder="1" applyAlignment="1">
      <alignment horizontal="center"/>
    </xf>
    <xf numFmtId="0" fontId="14" fillId="25" borderId="13" xfId="0" applyFont="1" applyFill="1" applyBorder="1" applyAlignment="1">
      <alignment horizontal="center"/>
    </xf>
    <xf numFmtId="0" fontId="14" fillId="25" borderId="14" xfId="0" applyFont="1" applyFill="1" applyBorder="1" applyAlignment="1">
      <alignment horizontal="center"/>
    </xf>
    <xf numFmtId="0" fontId="16" fillId="0" borderId="12"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24" borderId="22" xfId="0" applyFont="1" applyFill="1" applyBorder="1" applyAlignment="1">
      <alignment horizontal="center"/>
    </xf>
    <xf numFmtId="0" fontId="13" fillId="24" borderId="21" xfId="0" applyFont="1" applyFill="1" applyBorder="1" applyAlignment="1">
      <alignment horizontal="center"/>
    </xf>
    <xf numFmtId="0" fontId="15" fillId="25" borderId="15" xfId="0" applyFont="1" applyFill="1" applyBorder="1" applyAlignment="1">
      <alignment horizontal="center" vertical="center"/>
    </xf>
    <xf numFmtId="0" fontId="15" fillId="25" borderId="17" xfId="0" applyFont="1" applyFill="1" applyBorder="1" applyAlignment="1">
      <alignment horizontal="center" vertical="center"/>
    </xf>
    <xf numFmtId="0" fontId="13" fillId="24" borderId="12" xfId="0" applyFont="1" applyFill="1" applyBorder="1" applyAlignment="1">
      <alignment horizontal="center"/>
    </xf>
    <xf numFmtId="0" fontId="13" fillId="24" borderId="14" xfId="0" applyFont="1" applyFill="1" applyBorder="1" applyAlignment="1">
      <alignment horizontal="center"/>
    </xf>
    <xf numFmtId="0" fontId="8" fillId="24" borderId="19" xfId="0" applyFont="1" applyFill="1" applyBorder="1" applyAlignment="1">
      <alignment horizontal="center"/>
    </xf>
    <xf numFmtId="0" fontId="8" fillId="24" borderId="20" xfId="0" applyFont="1" applyFill="1" applyBorder="1" applyAlignment="1">
      <alignment horizontal="center"/>
    </xf>
    <xf numFmtId="0" fontId="13" fillId="24" borderId="15" xfId="0" applyFont="1" applyFill="1" applyBorder="1" applyAlignment="1">
      <alignment horizontal="left" vertical="center" wrapText="1"/>
    </xf>
    <xf numFmtId="0" fontId="13" fillId="24" borderId="16" xfId="0" applyFont="1" applyFill="1" applyBorder="1" applyAlignment="1">
      <alignment horizontal="left" vertical="center" wrapText="1"/>
    </xf>
    <xf numFmtId="0" fontId="15" fillId="25" borderId="12" xfId="0" applyFont="1" applyFill="1" applyBorder="1" applyAlignment="1">
      <alignment horizontal="center" vertical="center" wrapText="1"/>
    </xf>
    <xf numFmtId="0" fontId="15" fillId="25" borderId="13" xfId="0" applyFont="1" applyFill="1" applyBorder="1" applyAlignment="1">
      <alignment horizontal="center" vertical="center" wrapText="1"/>
    </xf>
    <xf numFmtId="0" fontId="15" fillId="25" borderId="14" xfId="0" applyFont="1" applyFill="1" applyBorder="1" applyAlignment="1">
      <alignment horizontal="center" vertical="center" wrapText="1"/>
    </xf>
    <xf numFmtId="0" fontId="16" fillId="26" borderId="0" xfId="0" quotePrefix="1" applyFont="1" applyFill="1" applyAlignment="1">
      <alignment horizontal="left" vertical="center" wrapText="1"/>
    </xf>
    <xf numFmtId="0" fontId="16" fillId="26" borderId="0" xfId="0" applyFont="1" applyFill="1" applyAlignment="1">
      <alignment horizontal="left" vertical="center" wrapText="1"/>
    </xf>
    <xf numFmtId="0" fontId="5" fillId="25" borderId="12" xfId="0" quotePrefix="1" applyFont="1" applyFill="1" applyBorder="1" applyAlignment="1">
      <alignment horizontal="center" vertical="center" wrapText="1"/>
    </xf>
    <xf numFmtId="0" fontId="5" fillId="25" borderId="14" xfId="0" quotePrefix="1" applyFont="1" applyFill="1" applyBorder="1" applyAlignment="1">
      <alignment horizontal="center" vertical="center" wrapText="1"/>
    </xf>
    <xf numFmtId="0" fontId="13" fillId="24" borderId="12" xfId="0" applyFont="1" applyFill="1" applyBorder="1" applyAlignment="1">
      <alignment horizontal="left" vertical="center" wrapText="1"/>
    </xf>
    <xf numFmtId="0" fontId="13" fillId="24" borderId="13" xfId="0" applyFont="1" applyFill="1" applyBorder="1" applyAlignment="1">
      <alignment horizontal="left" vertical="center" wrapText="1"/>
    </xf>
    <xf numFmtId="0" fontId="13" fillId="24" borderId="17" xfId="0" applyFont="1" applyFill="1" applyBorder="1" applyAlignment="1">
      <alignment horizontal="left" vertical="center" wrapText="1"/>
    </xf>
    <xf numFmtId="0" fontId="13" fillId="24" borderId="15" xfId="0" applyFont="1" applyFill="1" applyBorder="1" applyAlignment="1">
      <alignment horizontal="center"/>
    </xf>
    <xf numFmtId="0" fontId="13" fillId="24" borderId="17" xfId="0" applyFont="1" applyFill="1" applyBorder="1" applyAlignment="1">
      <alignment horizontal="center"/>
    </xf>
    <xf numFmtId="0" fontId="13" fillId="24" borderId="19" xfId="0" applyFont="1" applyFill="1" applyBorder="1" applyAlignment="1">
      <alignment horizontal="center"/>
    </xf>
    <xf numFmtId="0" fontId="13" fillId="24" borderId="20" xfId="0" applyFont="1" applyFill="1" applyBorder="1" applyAlignment="1">
      <alignment horizontal="center"/>
    </xf>
    <xf numFmtId="0" fontId="13" fillId="24" borderId="14" xfId="0" applyFont="1" applyFill="1" applyBorder="1" applyAlignment="1">
      <alignment horizontal="left" vertical="center" wrapText="1"/>
    </xf>
    <xf numFmtId="0" fontId="5" fillId="25" borderId="15" xfId="0" applyFont="1" applyFill="1" applyBorder="1" applyAlignment="1">
      <alignment horizontal="center"/>
    </xf>
    <xf numFmtId="0" fontId="5" fillId="25" borderId="16" xfId="0" applyFont="1" applyFill="1" applyBorder="1" applyAlignment="1">
      <alignment horizontal="center"/>
    </xf>
    <xf numFmtId="0" fontId="5" fillId="25" borderId="17" xfId="0" applyFont="1" applyFill="1" applyBorder="1" applyAlignment="1">
      <alignment horizontal="center"/>
    </xf>
    <xf numFmtId="0" fontId="5" fillId="25" borderId="12" xfId="0" applyFont="1" applyFill="1" applyBorder="1" applyAlignment="1">
      <alignment horizontal="center"/>
    </xf>
    <xf numFmtId="0" fontId="5" fillId="25" borderId="13" xfId="0" applyFont="1" applyFill="1" applyBorder="1" applyAlignment="1">
      <alignment horizontal="center"/>
    </xf>
    <xf numFmtId="0" fontId="5" fillId="25" borderId="14" xfId="0" applyFont="1" applyFill="1" applyBorder="1" applyAlignment="1">
      <alignment horizontal="center"/>
    </xf>
    <xf numFmtId="0" fontId="0" fillId="25" borderId="15" xfId="0" applyFill="1" applyBorder="1" applyAlignment="1">
      <alignment horizontal="center"/>
    </xf>
    <xf numFmtId="0" fontId="0" fillId="25" borderId="16" xfId="0" applyFill="1" applyBorder="1" applyAlignment="1">
      <alignment horizontal="center"/>
    </xf>
    <xf numFmtId="0" fontId="0" fillId="25" borderId="17" xfId="0" applyFill="1" applyBorder="1" applyAlignment="1">
      <alignment horizontal="center"/>
    </xf>
    <xf numFmtId="0" fontId="5" fillId="25" borderId="12" xfId="0" applyFont="1" applyFill="1" applyBorder="1" applyAlignment="1">
      <alignment horizontal="center" vertical="center"/>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0" xfId="0" applyFont="1" applyFill="1" applyBorder="1" applyAlignment="1">
      <alignment horizontal="center" vertical="center"/>
    </xf>
    <xf numFmtId="0" fontId="5" fillId="25" borderId="18"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6" xfId="0" applyFont="1" applyFill="1" applyBorder="1" applyAlignment="1">
      <alignment horizontal="center" vertical="center"/>
    </xf>
    <xf numFmtId="0" fontId="5" fillId="25" borderId="17" xfId="0" applyFont="1" applyFill="1" applyBorder="1" applyAlignment="1">
      <alignment horizontal="center" vertical="center"/>
    </xf>
    <xf numFmtId="0" fontId="5" fillId="25" borderId="19" xfId="0" applyFont="1" applyFill="1" applyBorder="1" applyAlignment="1">
      <alignment horizontal="center" vertical="center"/>
    </xf>
    <xf numFmtId="0" fontId="5" fillId="25" borderId="23" xfId="0" applyFont="1" applyFill="1" applyBorder="1" applyAlignment="1">
      <alignment horizontal="center" vertical="center"/>
    </xf>
    <xf numFmtId="0" fontId="5" fillId="25" borderId="20" xfId="0" applyFont="1" applyFill="1" applyBorder="1" applyAlignment="1">
      <alignment horizontal="center" vertical="center"/>
    </xf>
    <xf numFmtId="164" fontId="5" fillId="24" borderId="11" xfId="1582" applyNumberFormat="1" applyFont="1" applyFill="1" applyBorder="1" applyAlignment="1">
      <alignment horizontal="center"/>
    </xf>
    <xf numFmtId="0" fontId="5" fillId="25" borderId="11" xfId="0" quotePrefix="1" applyFont="1" applyFill="1" applyBorder="1" applyAlignment="1">
      <alignment horizontal="center"/>
    </xf>
    <xf numFmtId="0" fontId="5" fillId="25" borderId="11" xfId="0" applyFont="1" applyFill="1" applyBorder="1" applyAlignment="1">
      <alignment horizontal="center"/>
    </xf>
    <xf numFmtId="164" fontId="0" fillId="0" borderId="11" xfId="1582" applyNumberFormat="1" applyFont="1" applyFill="1" applyBorder="1" applyAlignment="1" applyProtection="1">
      <alignment horizontal="center"/>
      <protection locked="0"/>
    </xf>
    <xf numFmtId="0" fontId="0" fillId="0" borderId="11" xfId="0" applyBorder="1" applyAlignment="1" applyProtection="1">
      <alignment horizontal="center"/>
      <protection locked="0"/>
    </xf>
    <xf numFmtId="0" fontId="11" fillId="24" borderId="15" xfId="0" applyFont="1" applyFill="1" applyBorder="1" applyAlignment="1">
      <alignment horizontal="left" vertical="center"/>
    </xf>
    <xf numFmtId="0" fontId="11" fillId="24" borderId="16" xfId="0" applyFont="1" applyFill="1" applyBorder="1" applyAlignment="1">
      <alignment horizontal="left" vertical="center"/>
    </xf>
    <xf numFmtId="0" fontId="11" fillId="24" borderId="19" xfId="0" applyFont="1" applyFill="1" applyBorder="1" applyAlignment="1">
      <alignment horizontal="left" vertical="center"/>
    </xf>
    <xf numFmtId="0" fontId="11" fillId="24" borderId="23" xfId="0" applyFont="1" applyFill="1" applyBorder="1" applyAlignment="1">
      <alignment horizontal="left" vertical="center"/>
    </xf>
    <xf numFmtId="0" fontId="11" fillId="24" borderId="16" xfId="0" quotePrefix="1" applyFont="1" applyFill="1" applyBorder="1" applyAlignment="1">
      <alignment horizontal="left" vertical="center"/>
    </xf>
    <xf numFmtId="0" fontId="0" fillId="24" borderId="16" xfId="0" applyFill="1" applyBorder="1" applyAlignment="1">
      <alignment vertical="center"/>
    </xf>
    <xf numFmtId="0" fontId="0" fillId="24" borderId="17" xfId="0" applyFill="1" applyBorder="1" applyAlignment="1">
      <alignment vertical="center"/>
    </xf>
    <xf numFmtId="0" fontId="0" fillId="24" borderId="23" xfId="0" applyFill="1" applyBorder="1" applyAlignment="1">
      <alignment vertical="center"/>
    </xf>
    <xf numFmtId="0" fontId="0" fillId="24" borderId="20" xfId="0" applyFill="1" applyBorder="1" applyAlignment="1">
      <alignment vertical="center"/>
    </xf>
    <xf numFmtId="169" fontId="8" fillId="24" borderId="10" xfId="1700" applyNumberFormat="1" applyFont="1" applyFill="1" applyBorder="1" applyAlignment="1">
      <alignment horizontal="center" vertical="center"/>
    </xf>
    <xf numFmtId="169" fontId="8" fillId="24" borderId="24" xfId="1700" applyNumberFormat="1" applyFont="1" applyFill="1" applyBorder="1" applyAlignment="1">
      <alignment horizontal="center" vertical="center"/>
    </xf>
    <xf numFmtId="169" fontId="8" fillId="24" borderId="18" xfId="1700" applyNumberFormat="1" applyFont="1" applyFill="1" applyBorder="1" applyAlignment="1">
      <alignment horizontal="center" vertical="center"/>
    </xf>
    <xf numFmtId="0" fontId="0" fillId="24" borderId="12" xfId="0" applyFill="1" applyBorder="1" applyAlignment="1">
      <alignment horizontal="center"/>
    </xf>
    <xf numFmtId="0" fontId="0" fillId="24" borderId="14" xfId="0" applyFill="1" applyBorder="1" applyAlignment="1">
      <alignment horizontal="center"/>
    </xf>
    <xf numFmtId="0" fontId="5" fillId="25" borderId="11" xfId="0" applyFont="1" applyFill="1" applyBorder="1" applyAlignment="1">
      <alignment horizontal="center" vertical="center"/>
    </xf>
    <xf numFmtId="0" fontId="5" fillId="25" borderId="10"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5" fillId="25" borderId="11" xfId="0" applyFont="1" applyFill="1" applyBorder="1" applyAlignment="1">
      <alignment horizontal="center" vertical="center" wrapText="1"/>
    </xf>
    <xf numFmtId="164" fontId="8" fillId="0" borderId="11" xfId="1582" applyNumberFormat="1" applyFont="1" applyFill="1" applyBorder="1" applyAlignment="1" applyProtection="1">
      <alignment horizontal="center"/>
      <protection locked="0"/>
    </xf>
    <xf numFmtId="0" fontId="0" fillId="26" borderId="15" xfId="0"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5" fillId="26" borderId="15" xfId="0" applyFont="1" applyFill="1" applyBorder="1" applyAlignment="1">
      <alignment horizontal="center" vertical="center"/>
    </xf>
    <xf numFmtId="0" fontId="5" fillId="26" borderId="16" xfId="0" applyFont="1" applyFill="1" applyBorder="1" applyAlignment="1">
      <alignment horizontal="center" vertical="center"/>
    </xf>
    <xf numFmtId="0" fontId="5" fillId="26" borderId="17" xfId="0" applyFont="1" applyFill="1" applyBorder="1" applyAlignment="1">
      <alignment horizontal="center" vertical="center"/>
    </xf>
    <xf numFmtId="0" fontId="5" fillId="26" borderId="15" xfId="0" applyFont="1" applyFill="1" applyBorder="1" applyAlignment="1">
      <alignment horizontal="center"/>
    </xf>
    <xf numFmtId="0" fontId="5" fillId="26" borderId="16" xfId="0" applyFont="1" applyFill="1" applyBorder="1" applyAlignment="1">
      <alignment horizontal="center"/>
    </xf>
    <xf numFmtId="0" fontId="5" fillId="26" borderId="17" xfId="0" applyFont="1" applyFill="1" applyBorder="1" applyAlignment="1">
      <alignment horizontal="center"/>
    </xf>
    <xf numFmtId="0" fontId="5" fillId="26" borderId="12" xfId="0" applyFont="1" applyFill="1" applyBorder="1" applyAlignment="1">
      <alignment horizontal="center"/>
    </xf>
    <xf numFmtId="0" fontId="5" fillId="26" borderId="13" xfId="0" applyFont="1" applyFill="1" applyBorder="1" applyAlignment="1">
      <alignment horizontal="center"/>
    </xf>
    <xf numFmtId="0" fontId="5" fillId="26" borderId="14" xfId="0" applyFont="1" applyFill="1" applyBorder="1" applyAlignment="1">
      <alignment horizontal="center"/>
    </xf>
    <xf numFmtId="0" fontId="5" fillId="26" borderId="12" xfId="0" applyFont="1" applyFill="1" applyBorder="1" applyAlignment="1">
      <alignment horizontal="center" vertical="center" wrapText="1"/>
    </xf>
    <xf numFmtId="0" fontId="5" fillId="26" borderId="13" xfId="0" applyFont="1" applyFill="1" applyBorder="1" applyAlignment="1">
      <alignment horizontal="center" vertical="center" wrapText="1"/>
    </xf>
    <xf numFmtId="0" fontId="5" fillId="26" borderId="14" xfId="0" applyFont="1" applyFill="1" applyBorder="1" applyAlignment="1">
      <alignment horizontal="center" vertical="center" wrapText="1"/>
    </xf>
    <xf numFmtId="164" fontId="8" fillId="24" borderId="11" xfId="1582" applyNumberFormat="1" applyFont="1" applyFill="1" applyBorder="1" applyAlignment="1">
      <alignment horizontal="center"/>
    </xf>
    <xf numFmtId="0" fontId="0" fillId="27" borderId="11" xfId="0" applyFill="1" applyBorder="1" applyAlignment="1" applyProtection="1">
      <alignment horizontal="left"/>
      <protection locked="0"/>
    </xf>
    <xf numFmtId="164" fontId="8" fillId="27" borderId="11" xfId="1582" applyNumberFormat="1" applyFont="1" applyFill="1" applyBorder="1" applyAlignment="1" applyProtection="1">
      <alignment horizontal="center"/>
      <protection locked="0"/>
    </xf>
    <xf numFmtId="0" fontId="5" fillId="25" borderId="10" xfId="0" applyFont="1" applyFill="1" applyBorder="1" applyAlignment="1" applyProtection="1">
      <alignment horizontal="center" vertical="center"/>
      <protection locked="0"/>
    </xf>
    <xf numFmtId="0" fontId="5" fillId="25" borderId="18" xfId="0" applyFont="1" applyFill="1" applyBorder="1" applyAlignment="1" applyProtection="1">
      <alignment horizontal="center" vertical="center"/>
      <protection locked="0"/>
    </xf>
    <xf numFmtId="0" fontId="0" fillId="27" borderId="12" xfId="0" applyFill="1" applyBorder="1" applyAlignment="1" applyProtection="1">
      <alignment horizontal="center"/>
      <protection locked="0"/>
    </xf>
    <xf numFmtId="0" fontId="0" fillId="27" borderId="14" xfId="0" applyFill="1" applyBorder="1" applyAlignment="1" applyProtection="1">
      <alignment horizontal="center"/>
      <protection locked="0"/>
    </xf>
    <xf numFmtId="0" fontId="0" fillId="24" borderId="22" xfId="0" applyFill="1" applyBorder="1" applyAlignment="1">
      <alignment horizontal="center" vertical="center"/>
    </xf>
    <xf numFmtId="0" fontId="0" fillId="24" borderId="21" xfId="0" applyFill="1" applyBorder="1" applyAlignment="1">
      <alignment horizontal="center" vertical="center"/>
    </xf>
    <xf numFmtId="0" fontId="0" fillId="27" borderId="13" xfId="0" applyFill="1" applyBorder="1" applyAlignment="1" applyProtection="1">
      <alignment horizontal="center"/>
      <protection locked="0"/>
    </xf>
    <xf numFmtId="0" fontId="5" fillId="25" borderId="15" xfId="0" applyFont="1" applyFill="1" applyBorder="1" applyAlignment="1" applyProtection="1">
      <alignment horizontal="center" vertical="center"/>
      <protection locked="0"/>
    </xf>
    <xf numFmtId="0" fontId="5" fillId="25" borderId="19" xfId="0" applyFont="1" applyFill="1" applyBorder="1" applyAlignment="1" applyProtection="1">
      <alignment horizontal="center" vertical="center"/>
      <protection locked="0"/>
    </xf>
    <xf numFmtId="0" fontId="5" fillId="25" borderId="12" xfId="0" quotePrefix="1" applyFont="1" applyFill="1" applyBorder="1" applyAlignment="1">
      <alignment horizontal="center"/>
    </xf>
    <xf numFmtId="0" fontId="3" fillId="27" borderId="12" xfId="2842" applyFill="1" applyBorder="1" applyAlignment="1" applyProtection="1">
      <alignment horizontal="center"/>
      <protection locked="0"/>
    </xf>
    <xf numFmtId="0" fontId="3" fillId="27" borderId="14" xfId="2842" applyFill="1" applyBorder="1" applyAlignment="1" applyProtection="1">
      <alignment horizontal="center"/>
      <protection locked="0"/>
    </xf>
    <xf numFmtId="0" fontId="5" fillId="25" borderId="12" xfId="2778" applyFont="1" applyFill="1" applyBorder="1" applyAlignment="1">
      <alignment horizontal="center"/>
    </xf>
    <xf numFmtId="0" fontId="5" fillId="25" borderId="13" xfId="2778" applyFont="1" applyFill="1" applyBorder="1" applyAlignment="1">
      <alignment horizontal="center"/>
    </xf>
    <xf numFmtId="0" fontId="5" fillId="25" borderId="14" xfId="2778" applyFont="1" applyFill="1" applyBorder="1" applyAlignment="1">
      <alignment horizontal="center"/>
    </xf>
    <xf numFmtId="0" fontId="3" fillId="24" borderId="12" xfId="0" applyFont="1" applyFill="1" applyBorder="1" applyAlignment="1">
      <alignment horizontal="center"/>
    </xf>
    <xf numFmtId="0" fontId="3" fillId="24" borderId="14" xfId="0" applyFont="1" applyFill="1" applyBorder="1" applyAlignment="1">
      <alignment horizontal="center"/>
    </xf>
    <xf numFmtId="0" fontId="0" fillId="25" borderId="12" xfId="0" applyFill="1" applyBorder="1" applyAlignment="1">
      <alignment horizontal="center"/>
    </xf>
    <xf numFmtId="0" fontId="0" fillId="25" borderId="13" xfId="0" applyFill="1" applyBorder="1" applyAlignment="1">
      <alignment horizontal="center"/>
    </xf>
    <xf numFmtId="0" fontId="0" fillId="25" borderId="14" xfId="0" applyFill="1" applyBorder="1" applyAlignment="1">
      <alignment horizontal="center"/>
    </xf>
    <xf numFmtId="0" fontId="7" fillId="26" borderId="0" xfId="0" applyFont="1" applyFill="1" applyAlignment="1">
      <alignment horizontal="left" vertical="center" wrapText="1"/>
    </xf>
    <xf numFmtId="0" fontId="0" fillId="25" borderId="14" xfId="0" applyFill="1" applyBorder="1"/>
    <xf numFmtId="0" fontId="5" fillId="25" borderId="15" xfId="0" quotePrefix="1" applyFont="1" applyFill="1" applyBorder="1" applyAlignment="1">
      <alignment horizontal="center" vertical="center"/>
    </xf>
    <xf numFmtId="0" fontId="5" fillId="25" borderId="17" xfId="0" quotePrefix="1" applyFont="1" applyFill="1" applyBorder="1" applyAlignment="1">
      <alignment horizontal="center" vertical="center"/>
    </xf>
    <xf numFmtId="0" fontId="5" fillId="25" borderId="19" xfId="0" quotePrefix="1" applyFont="1" applyFill="1" applyBorder="1" applyAlignment="1">
      <alignment horizontal="center" vertical="center"/>
    </xf>
    <xf numFmtId="0" fontId="5" fillId="25" borderId="20" xfId="0" quotePrefix="1" applyFont="1" applyFill="1" applyBorder="1" applyAlignment="1">
      <alignment horizontal="center" vertical="center"/>
    </xf>
    <xf numFmtId="0" fontId="0" fillId="24" borderId="15" xfId="0" applyFill="1" applyBorder="1" applyAlignment="1">
      <alignment horizontal="center"/>
    </xf>
    <xf numFmtId="0" fontId="0" fillId="24" borderId="16" xfId="0" applyFill="1" applyBorder="1" applyAlignment="1">
      <alignment horizontal="center"/>
    </xf>
    <xf numFmtId="0" fontId="0" fillId="24" borderId="19" xfId="0" applyFill="1" applyBorder="1" applyAlignment="1">
      <alignment horizontal="left"/>
    </xf>
    <xf numFmtId="0" fontId="0" fillId="24" borderId="23" xfId="0" applyFill="1" applyBorder="1" applyAlignment="1">
      <alignment horizontal="left"/>
    </xf>
    <xf numFmtId="0" fontId="5" fillId="25" borderId="12" xfId="0" quotePrefix="1" applyFont="1" applyFill="1" applyBorder="1" applyAlignment="1">
      <alignment horizontal="center" vertical="center"/>
    </xf>
    <xf numFmtId="0" fontId="5" fillId="25" borderId="13" xfId="0" quotePrefix="1" applyFont="1" applyFill="1" applyBorder="1" applyAlignment="1">
      <alignment horizontal="center" vertical="center"/>
    </xf>
    <xf numFmtId="0" fontId="5" fillId="25" borderId="14" xfId="0" quotePrefix="1" applyFont="1" applyFill="1" applyBorder="1" applyAlignment="1">
      <alignment horizontal="center" vertical="center"/>
    </xf>
    <xf numFmtId="0" fontId="5" fillId="25" borderId="22" xfId="0" applyFont="1" applyFill="1" applyBorder="1" applyAlignment="1">
      <alignment horizontal="center" vertical="center" wrapText="1"/>
    </xf>
    <xf numFmtId="0" fontId="5" fillId="25" borderId="0" xfId="0" applyFont="1" applyFill="1" applyAlignment="1">
      <alignment horizontal="center" vertical="center" wrapText="1"/>
    </xf>
    <xf numFmtId="0" fontId="5" fillId="25" borderId="21" xfId="0" applyFont="1" applyFill="1" applyBorder="1" applyAlignment="1">
      <alignment horizontal="center" vertical="center" wrapText="1"/>
    </xf>
    <xf numFmtId="0" fontId="5" fillId="25" borderId="19" xfId="0" quotePrefix="1" applyFont="1" applyFill="1" applyBorder="1" applyAlignment="1">
      <alignment horizontal="center"/>
    </xf>
    <xf numFmtId="0" fontId="5" fillId="25" borderId="20" xfId="0" applyFont="1" applyFill="1" applyBorder="1" applyAlignment="1">
      <alignment horizontal="center"/>
    </xf>
    <xf numFmtId="0" fontId="7" fillId="26" borderId="0" xfId="0" quotePrefix="1" applyFont="1" applyFill="1" applyAlignment="1">
      <alignment horizontal="left" vertical="center" wrapText="1"/>
    </xf>
    <xf numFmtId="0" fontId="0" fillId="24" borderId="13" xfId="0" applyFill="1" applyBorder="1" applyAlignment="1">
      <alignment horizontal="center"/>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8" fillId="24" borderId="12" xfId="0" applyFont="1" applyFill="1" applyBorder="1" applyAlignment="1">
      <alignment horizontal="left" vertical="top" wrapText="1"/>
    </xf>
    <xf numFmtId="0" fontId="8" fillId="24" borderId="13" xfId="0" applyFont="1" applyFill="1" applyBorder="1" applyAlignment="1">
      <alignment horizontal="left" vertical="top" wrapText="1"/>
    </xf>
    <xf numFmtId="0" fontId="8" fillId="24" borderId="14" xfId="0" applyFont="1" applyFill="1" applyBorder="1" applyAlignment="1">
      <alignment horizontal="left" vertical="top" wrapText="1"/>
    </xf>
    <xf numFmtId="17" fontId="5" fillId="25" borderId="15" xfId="0" applyNumberFormat="1" applyFont="1" applyFill="1" applyBorder="1" applyAlignment="1">
      <alignment horizontal="center" vertical="center" wrapText="1"/>
    </xf>
    <xf numFmtId="17" fontId="5" fillId="25" borderId="16" xfId="0" applyNumberFormat="1" applyFont="1" applyFill="1" applyBorder="1" applyAlignment="1">
      <alignment horizontal="center" vertical="center" wrapText="1"/>
    </xf>
    <xf numFmtId="17" fontId="5" fillId="25" borderId="17" xfId="0" applyNumberFormat="1" applyFont="1" applyFill="1" applyBorder="1" applyAlignment="1">
      <alignment horizontal="center" vertical="center" wrapText="1"/>
    </xf>
    <xf numFmtId="0" fontId="8" fillId="26" borderId="0" xfId="0" quotePrefix="1" applyFont="1" applyFill="1" applyAlignment="1">
      <alignment vertical="center" wrapText="1"/>
    </xf>
    <xf numFmtId="17" fontId="5" fillId="25" borderId="12" xfId="0" applyNumberFormat="1" applyFont="1" applyFill="1" applyBorder="1" applyAlignment="1">
      <alignment horizontal="center" vertical="center" wrapText="1"/>
    </xf>
    <xf numFmtId="17" fontId="5" fillId="25" borderId="13" xfId="0" applyNumberFormat="1" applyFont="1" applyFill="1" applyBorder="1" applyAlignment="1">
      <alignment horizontal="center" vertical="center" wrapText="1"/>
    </xf>
    <xf numFmtId="17" fontId="5" fillId="25" borderId="14" xfId="0" applyNumberFormat="1" applyFont="1" applyFill="1" applyBorder="1" applyAlignment="1">
      <alignment horizontal="center" vertical="center" wrapText="1"/>
    </xf>
    <xf numFmtId="0" fontId="3" fillId="0" borderId="11" xfId="0" quotePrefix="1" applyFont="1" applyBorder="1" applyAlignment="1">
      <alignment horizontal="left" vertical="top" wrapText="1"/>
    </xf>
    <xf numFmtId="0" fontId="0" fillId="0" borderId="11" xfId="0" applyBorder="1" applyAlignment="1">
      <alignment vertical="top"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0" fillId="0" borderId="11" xfId="0" applyBorder="1" applyAlignment="1">
      <alignment horizontal="left" vertical="top" wrapText="1"/>
    </xf>
    <xf numFmtId="172" fontId="3" fillId="0" borderId="11" xfId="2697" quotePrefix="1" applyBorder="1" applyAlignment="1">
      <alignment horizontal="left" vertical="top" wrapText="1"/>
    </xf>
    <xf numFmtId="172" fontId="3" fillId="0" borderId="11" xfId="2697" applyBorder="1" applyAlignment="1">
      <alignment vertical="top" wrapText="1"/>
    </xf>
    <xf numFmtId="0" fontId="0" fillId="0" borderId="12" xfId="0" quotePrefix="1" applyBorder="1" applyAlignment="1">
      <alignment horizontal="left" vertical="top" wrapText="1"/>
    </xf>
    <xf numFmtId="0" fontId="0" fillId="0" borderId="13" xfId="0" quotePrefix="1" applyBorder="1" applyAlignment="1">
      <alignment horizontal="left" vertical="top" wrapText="1"/>
    </xf>
    <xf numFmtId="0" fontId="0" fillId="0" borderId="14" xfId="0" quotePrefix="1" applyBorder="1" applyAlignment="1">
      <alignment horizontal="left" vertical="top" wrapText="1"/>
    </xf>
    <xf numFmtId="0" fontId="3" fillId="0" borderId="11" xfId="2692" quotePrefix="1" applyBorder="1" applyAlignment="1">
      <alignment horizontal="left" vertical="top" wrapText="1"/>
    </xf>
    <xf numFmtId="0" fontId="3" fillId="0" borderId="11" xfId="2692" applyBorder="1" applyAlignment="1">
      <alignment vertical="top" wrapText="1"/>
    </xf>
    <xf numFmtId="0" fontId="3" fillId="0" borderId="11" xfId="2693" quotePrefix="1" applyBorder="1" applyAlignment="1">
      <alignment horizontal="left" vertical="top" wrapText="1"/>
    </xf>
    <xf numFmtId="0" fontId="3" fillId="0" borderId="11" xfId="2693" applyBorder="1" applyAlignment="1">
      <alignment vertical="top" wrapText="1"/>
    </xf>
    <xf numFmtId="172" fontId="3" fillId="0" borderId="11" xfId="2695" quotePrefix="1" applyBorder="1" applyAlignment="1">
      <alignment horizontal="left" vertical="top" wrapText="1"/>
    </xf>
    <xf numFmtId="172" fontId="3" fillId="0" borderId="11" xfId="2695" applyBorder="1" applyAlignment="1">
      <alignment vertical="top" wrapText="1"/>
    </xf>
    <xf numFmtId="0" fontId="3" fillId="0" borderId="11" xfId="2182" quotePrefix="1" applyBorder="1" applyAlignment="1">
      <alignment horizontal="left" vertical="top" wrapText="1"/>
    </xf>
    <xf numFmtId="0" fontId="3" fillId="0" borderId="11" xfId="2182" applyBorder="1" applyAlignment="1">
      <alignment vertical="top" wrapText="1"/>
    </xf>
    <xf numFmtId="172" fontId="3" fillId="0" borderId="11" xfId="2243" quotePrefix="1" applyBorder="1" applyAlignment="1">
      <alignment horizontal="left" vertical="top" wrapText="1"/>
    </xf>
    <xf numFmtId="172" fontId="3" fillId="0" borderId="11" xfId="2243" applyBorder="1" applyAlignment="1">
      <alignment vertical="top" wrapText="1"/>
    </xf>
    <xf numFmtId="0" fontId="0" fillId="0" borderId="11" xfId="0" quotePrefix="1" applyBorder="1" applyAlignment="1">
      <alignment horizontal="left" vertical="top" wrapText="1"/>
    </xf>
    <xf numFmtId="0" fontId="3" fillId="0" borderId="12" xfId="0" quotePrefix="1" applyFont="1" applyBorder="1" applyAlignment="1">
      <alignment horizontal="left" vertical="top" wrapText="1"/>
    </xf>
    <xf numFmtId="0" fontId="3" fillId="0" borderId="13" xfId="0" quotePrefix="1" applyFont="1" applyBorder="1" applyAlignment="1">
      <alignment horizontal="left" vertical="top" wrapText="1"/>
    </xf>
    <xf numFmtId="0" fontId="3" fillId="0" borderId="14" xfId="0" quotePrefix="1" applyFont="1" applyBorder="1" applyAlignment="1">
      <alignment horizontal="left" vertical="top" wrapText="1"/>
    </xf>
    <xf numFmtId="172" fontId="3" fillId="0" borderId="11" xfId="2181" quotePrefix="1" applyBorder="1" applyAlignment="1">
      <alignment horizontal="left" vertical="top" wrapText="1"/>
    </xf>
    <xf numFmtId="172" fontId="3" fillId="0" borderId="11" xfId="2181" applyBorder="1" applyAlignment="1">
      <alignment vertical="top" wrapText="1"/>
    </xf>
  </cellXfs>
  <cellStyles count="3135">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4" xfId="15" xr:uid="{00000000-0005-0000-0000-00000E000000}"/>
    <cellStyle name="20% - Accent1 2 3 5" xfId="16" xr:uid="{00000000-0005-0000-0000-00000F000000}"/>
    <cellStyle name="20% - Accent1 2 3 6" xfId="17" xr:uid="{00000000-0005-0000-0000-000010000000}"/>
    <cellStyle name="20% - Accent1 2 4" xfId="18" xr:uid="{00000000-0005-0000-0000-000011000000}"/>
    <cellStyle name="20% - Accent1 2 4 2" xfId="19" xr:uid="{00000000-0005-0000-0000-000012000000}"/>
    <cellStyle name="20% - Accent1 2 4 3" xfId="20" xr:uid="{00000000-0005-0000-0000-000013000000}"/>
    <cellStyle name="20% - Accent1 2 4 4" xfId="21" xr:uid="{00000000-0005-0000-0000-000014000000}"/>
    <cellStyle name="20% - Accent1 2 4 5" xfId="22" xr:uid="{00000000-0005-0000-0000-000015000000}"/>
    <cellStyle name="20% - Accent1 2 5" xfId="23" xr:uid="{00000000-0005-0000-0000-000016000000}"/>
    <cellStyle name="20% - Accent1 2 5 2" xfId="24" xr:uid="{00000000-0005-0000-0000-000017000000}"/>
    <cellStyle name="20% - Accent1 2 5 3" xfId="25" xr:uid="{00000000-0005-0000-0000-000018000000}"/>
    <cellStyle name="20% - Accent1 2 6" xfId="26" xr:uid="{00000000-0005-0000-0000-000019000000}"/>
    <cellStyle name="20% - Accent1 3" xfId="27" xr:uid="{00000000-0005-0000-0000-00001A000000}"/>
    <cellStyle name="20% - Accent1 3 2" xfId="28" xr:uid="{00000000-0005-0000-0000-00001B000000}"/>
    <cellStyle name="20% - Accent1 3 3" xfId="29" xr:uid="{00000000-0005-0000-0000-00001C000000}"/>
    <cellStyle name="20% - Accent1 3 4" xfId="30" xr:uid="{00000000-0005-0000-0000-00001D000000}"/>
    <cellStyle name="20% - Accent1 3 5" xfId="31" xr:uid="{00000000-0005-0000-0000-00001E000000}"/>
    <cellStyle name="20% - Accent1 4" xfId="32" xr:uid="{00000000-0005-0000-0000-00001F000000}"/>
    <cellStyle name="20% - Accent1 4 2" xfId="33" xr:uid="{00000000-0005-0000-0000-000020000000}"/>
    <cellStyle name="20% - Accent1 4 2 2" xfId="34" xr:uid="{00000000-0005-0000-0000-000021000000}"/>
    <cellStyle name="20% - Accent1 4 2 3" xfId="35" xr:uid="{00000000-0005-0000-0000-000022000000}"/>
    <cellStyle name="20% - Accent1 4 2 4" xfId="36" xr:uid="{00000000-0005-0000-0000-000023000000}"/>
    <cellStyle name="20% - Accent1 4 3" xfId="37" xr:uid="{00000000-0005-0000-0000-000024000000}"/>
    <cellStyle name="20% - Accent1 4 3 2" xfId="38" xr:uid="{00000000-0005-0000-0000-000025000000}"/>
    <cellStyle name="20% - Accent1 4 3 3" xfId="39" xr:uid="{00000000-0005-0000-0000-000026000000}"/>
    <cellStyle name="20% - Accent1 4 3 4" xfId="40" xr:uid="{00000000-0005-0000-0000-000027000000}"/>
    <cellStyle name="20% - Accent1 4 4" xfId="41" xr:uid="{00000000-0005-0000-0000-000028000000}"/>
    <cellStyle name="20% - Accent1 5" xfId="42" xr:uid="{00000000-0005-0000-0000-000029000000}"/>
    <cellStyle name="20% - Accent1 5 2" xfId="43" xr:uid="{00000000-0005-0000-0000-00002A000000}"/>
    <cellStyle name="20% - Accent1 5 2 2" xfId="44" xr:uid="{00000000-0005-0000-0000-00002B000000}"/>
    <cellStyle name="20% - Accent1 5 2 3" xfId="45" xr:uid="{00000000-0005-0000-0000-00002C000000}"/>
    <cellStyle name="20% - Accent1 5 3" xfId="46" xr:uid="{00000000-0005-0000-0000-00002D000000}"/>
    <cellStyle name="20% - Accent1 5 3 2" xfId="47" xr:uid="{00000000-0005-0000-0000-00002E000000}"/>
    <cellStyle name="20% - Accent1 5 3 3" xfId="48" xr:uid="{00000000-0005-0000-0000-00002F000000}"/>
    <cellStyle name="20% - Accent1 5 4" xfId="49" xr:uid="{00000000-0005-0000-0000-000030000000}"/>
    <cellStyle name="20% - Accent1 5 4 2" xfId="50" xr:uid="{00000000-0005-0000-0000-000031000000}"/>
    <cellStyle name="20% - Accent1 5 4 2 2" xfId="51" xr:uid="{00000000-0005-0000-0000-000032000000}"/>
    <cellStyle name="20% - Accent1 5 4 3" xfId="52" xr:uid="{00000000-0005-0000-0000-000033000000}"/>
    <cellStyle name="20% - Accent1 5 4 3 2" xfId="53" xr:uid="{00000000-0005-0000-0000-000034000000}"/>
    <cellStyle name="20% - Accent1 6" xfId="54" xr:uid="{00000000-0005-0000-0000-000035000000}"/>
    <cellStyle name="20% - Accent1 6 2" xfId="55" xr:uid="{00000000-0005-0000-0000-000036000000}"/>
    <cellStyle name="20% - Accent1 6 3" xfId="56" xr:uid="{00000000-0005-0000-0000-000037000000}"/>
    <cellStyle name="20% - Accent1 6 4" xfId="57" xr:uid="{00000000-0005-0000-0000-000038000000}"/>
    <cellStyle name="20% - Accent1 7" xfId="58" xr:uid="{00000000-0005-0000-0000-000039000000}"/>
    <cellStyle name="20% - Accent1 7 2" xfId="59" xr:uid="{00000000-0005-0000-0000-00003A000000}"/>
    <cellStyle name="20% - Accent1 7 3" xfId="60" xr:uid="{00000000-0005-0000-0000-00003B000000}"/>
    <cellStyle name="20% - Accent1 8" xfId="61" xr:uid="{00000000-0005-0000-0000-00003C000000}"/>
    <cellStyle name="20% - Accent1 8 2" xfId="62" xr:uid="{00000000-0005-0000-0000-00003D000000}"/>
    <cellStyle name="20% - Accent1 9" xfId="63" xr:uid="{00000000-0005-0000-0000-00003E000000}"/>
    <cellStyle name="20% - Accent1 9 2" xfId="64" xr:uid="{00000000-0005-0000-0000-00003F000000}"/>
    <cellStyle name="20% - Accent1 9 3" xfId="65" xr:uid="{00000000-0005-0000-0000-000040000000}"/>
    <cellStyle name="20% - Accent1 9 3 2" xfId="66" xr:uid="{00000000-0005-0000-0000-000041000000}"/>
    <cellStyle name="20% - Accent1 9 4" xfId="67" xr:uid="{00000000-0005-0000-0000-000042000000}"/>
    <cellStyle name="20% - Accent1 9 4 2" xfId="68" xr:uid="{00000000-0005-0000-0000-000043000000}"/>
    <cellStyle name="20% - Accent2" xfId="69" builtinId="34" customBuiltin="1"/>
    <cellStyle name="20% - Accent2 10" xfId="70" xr:uid="{00000000-0005-0000-0000-000045000000}"/>
    <cellStyle name="20% - Accent2 11" xfId="71" xr:uid="{00000000-0005-0000-0000-000046000000}"/>
    <cellStyle name="20% - Accent2 12" xfId="72" xr:uid="{00000000-0005-0000-0000-000047000000}"/>
    <cellStyle name="20% - Accent2 13" xfId="73" xr:uid="{00000000-0005-0000-0000-000048000000}"/>
    <cellStyle name="20% - Accent2 14" xfId="74" xr:uid="{00000000-0005-0000-0000-000049000000}"/>
    <cellStyle name="20% - Accent2 15" xfId="75" xr:uid="{00000000-0005-0000-0000-00004A000000}"/>
    <cellStyle name="20% - Accent2 2" xfId="76" xr:uid="{00000000-0005-0000-0000-00004B000000}"/>
    <cellStyle name="20% - Accent2 2 2" xfId="77" xr:uid="{00000000-0005-0000-0000-00004C000000}"/>
    <cellStyle name="20% - Accent2 2 2 2" xfId="78" xr:uid="{00000000-0005-0000-0000-00004D000000}"/>
    <cellStyle name="20% - Accent2 2 3" xfId="79" xr:uid="{00000000-0005-0000-0000-00004E000000}"/>
    <cellStyle name="20% - Accent2 2 3 2" xfId="80" xr:uid="{00000000-0005-0000-0000-00004F000000}"/>
    <cellStyle name="20% - Accent2 2 3 2 2" xfId="81" xr:uid="{00000000-0005-0000-0000-000050000000}"/>
    <cellStyle name="20% - Accent2 2 3 3" xfId="82" xr:uid="{00000000-0005-0000-0000-000051000000}"/>
    <cellStyle name="20% - Accent2 2 3 4" xfId="83" xr:uid="{00000000-0005-0000-0000-000052000000}"/>
    <cellStyle name="20% - Accent2 2 3 5" xfId="84" xr:uid="{00000000-0005-0000-0000-000053000000}"/>
    <cellStyle name="20% - Accent2 2 3 6" xfId="85" xr:uid="{00000000-0005-0000-0000-000054000000}"/>
    <cellStyle name="20% - Accent2 2 4" xfId="86" xr:uid="{00000000-0005-0000-0000-000055000000}"/>
    <cellStyle name="20% - Accent2 2 4 2" xfId="87" xr:uid="{00000000-0005-0000-0000-000056000000}"/>
    <cellStyle name="20% - Accent2 2 4 3" xfId="88" xr:uid="{00000000-0005-0000-0000-000057000000}"/>
    <cellStyle name="20% - Accent2 2 4 4" xfId="89" xr:uid="{00000000-0005-0000-0000-000058000000}"/>
    <cellStyle name="20% - Accent2 2 4 5" xfId="90" xr:uid="{00000000-0005-0000-0000-000059000000}"/>
    <cellStyle name="20% - Accent2 2 5" xfId="91" xr:uid="{00000000-0005-0000-0000-00005A000000}"/>
    <cellStyle name="20% - Accent2 2 5 2" xfId="92" xr:uid="{00000000-0005-0000-0000-00005B000000}"/>
    <cellStyle name="20% - Accent2 2 5 3" xfId="93" xr:uid="{00000000-0005-0000-0000-00005C000000}"/>
    <cellStyle name="20% - Accent2 2 6" xfId="94" xr:uid="{00000000-0005-0000-0000-00005D000000}"/>
    <cellStyle name="20% - Accent2 3" xfId="95" xr:uid="{00000000-0005-0000-0000-00005E000000}"/>
    <cellStyle name="20% - Accent2 3 2" xfId="96" xr:uid="{00000000-0005-0000-0000-00005F000000}"/>
    <cellStyle name="20% - Accent2 3 3" xfId="97" xr:uid="{00000000-0005-0000-0000-000060000000}"/>
    <cellStyle name="20% - Accent2 3 4" xfId="98" xr:uid="{00000000-0005-0000-0000-000061000000}"/>
    <cellStyle name="20% - Accent2 3 5" xfId="99" xr:uid="{00000000-0005-0000-0000-000062000000}"/>
    <cellStyle name="20% - Accent2 4" xfId="100" xr:uid="{00000000-0005-0000-0000-000063000000}"/>
    <cellStyle name="20% - Accent2 4 2" xfId="101" xr:uid="{00000000-0005-0000-0000-000064000000}"/>
    <cellStyle name="20% - Accent2 4 2 2" xfId="102" xr:uid="{00000000-0005-0000-0000-000065000000}"/>
    <cellStyle name="20% - Accent2 4 2 3" xfId="103" xr:uid="{00000000-0005-0000-0000-000066000000}"/>
    <cellStyle name="20% - Accent2 4 2 4" xfId="104" xr:uid="{00000000-0005-0000-0000-000067000000}"/>
    <cellStyle name="20% - Accent2 4 3" xfId="105" xr:uid="{00000000-0005-0000-0000-000068000000}"/>
    <cellStyle name="20% - Accent2 4 3 2" xfId="106" xr:uid="{00000000-0005-0000-0000-000069000000}"/>
    <cellStyle name="20% - Accent2 4 3 3" xfId="107" xr:uid="{00000000-0005-0000-0000-00006A000000}"/>
    <cellStyle name="20% - Accent2 4 3 4" xfId="108" xr:uid="{00000000-0005-0000-0000-00006B000000}"/>
    <cellStyle name="20% - Accent2 4 4" xfId="109" xr:uid="{00000000-0005-0000-0000-00006C000000}"/>
    <cellStyle name="20% - Accent2 5" xfId="110" xr:uid="{00000000-0005-0000-0000-00006D000000}"/>
    <cellStyle name="20% - Accent2 5 2" xfId="111" xr:uid="{00000000-0005-0000-0000-00006E000000}"/>
    <cellStyle name="20% - Accent2 5 2 2" xfId="112" xr:uid="{00000000-0005-0000-0000-00006F000000}"/>
    <cellStyle name="20% - Accent2 5 2 3" xfId="113" xr:uid="{00000000-0005-0000-0000-000070000000}"/>
    <cellStyle name="20% - Accent2 5 3" xfId="114" xr:uid="{00000000-0005-0000-0000-000071000000}"/>
    <cellStyle name="20% - Accent2 5 3 2" xfId="115" xr:uid="{00000000-0005-0000-0000-000072000000}"/>
    <cellStyle name="20% - Accent2 5 3 3" xfId="116" xr:uid="{00000000-0005-0000-0000-000073000000}"/>
    <cellStyle name="20% - Accent2 5 4" xfId="117" xr:uid="{00000000-0005-0000-0000-000074000000}"/>
    <cellStyle name="20% - Accent2 5 4 2" xfId="118" xr:uid="{00000000-0005-0000-0000-000075000000}"/>
    <cellStyle name="20% - Accent2 5 4 2 2" xfId="119" xr:uid="{00000000-0005-0000-0000-000076000000}"/>
    <cellStyle name="20% - Accent2 5 4 3" xfId="120" xr:uid="{00000000-0005-0000-0000-000077000000}"/>
    <cellStyle name="20% - Accent2 5 4 3 2" xfId="121" xr:uid="{00000000-0005-0000-0000-000078000000}"/>
    <cellStyle name="20% - Accent2 6" xfId="122" xr:uid="{00000000-0005-0000-0000-000079000000}"/>
    <cellStyle name="20% - Accent2 6 2" xfId="123" xr:uid="{00000000-0005-0000-0000-00007A000000}"/>
    <cellStyle name="20% - Accent2 6 3" xfId="124" xr:uid="{00000000-0005-0000-0000-00007B000000}"/>
    <cellStyle name="20% - Accent2 6 4" xfId="125" xr:uid="{00000000-0005-0000-0000-00007C000000}"/>
    <cellStyle name="20% - Accent2 7" xfId="126" xr:uid="{00000000-0005-0000-0000-00007D000000}"/>
    <cellStyle name="20% - Accent2 7 2" xfId="127" xr:uid="{00000000-0005-0000-0000-00007E000000}"/>
    <cellStyle name="20% - Accent2 7 3" xfId="128" xr:uid="{00000000-0005-0000-0000-00007F000000}"/>
    <cellStyle name="20% - Accent2 8" xfId="129" xr:uid="{00000000-0005-0000-0000-000080000000}"/>
    <cellStyle name="20% - Accent2 8 2" xfId="130" xr:uid="{00000000-0005-0000-0000-000081000000}"/>
    <cellStyle name="20% - Accent2 9" xfId="131" xr:uid="{00000000-0005-0000-0000-000082000000}"/>
    <cellStyle name="20% - Accent2 9 2" xfId="132" xr:uid="{00000000-0005-0000-0000-000083000000}"/>
    <cellStyle name="20% - Accent2 9 3" xfId="133" xr:uid="{00000000-0005-0000-0000-000084000000}"/>
    <cellStyle name="20% - Accent2 9 3 2" xfId="134" xr:uid="{00000000-0005-0000-0000-000085000000}"/>
    <cellStyle name="20% - Accent2 9 4" xfId="135" xr:uid="{00000000-0005-0000-0000-000086000000}"/>
    <cellStyle name="20% - Accent2 9 4 2" xfId="136" xr:uid="{00000000-0005-0000-0000-000087000000}"/>
    <cellStyle name="20% - Accent3" xfId="137" builtinId="38" customBuiltin="1"/>
    <cellStyle name="20% - Accent3 10" xfId="138" xr:uid="{00000000-0005-0000-0000-000089000000}"/>
    <cellStyle name="20% - Accent3 11" xfId="139" xr:uid="{00000000-0005-0000-0000-00008A000000}"/>
    <cellStyle name="20% - Accent3 12" xfId="140" xr:uid="{00000000-0005-0000-0000-00008B000000}"/>
    <cellStyle name="20% - Accent3 13" xfId="141" xr:uid="{00000000-0005-0000-0000-00008C000000}"/>
    <cellStyle name="20% - Accent3 14" xfId="142" xr:uid="{00000000-0005-0000-0000-00008D000000}"/>
    <cellStyle name="20% - Accent3 15" xfId="143" xr:uid="{00000000-0005-0000-0000-00008E000000}"/>
    <cellStyle name="20% - Accent3 2" xfId="144" xr:uid="{00000000-0005-0000-0000-00008F000000}"/>
    <cellStyle name="20% - Accent3 2 2" xfId="145" xr:uid="{00000000-0005-0000-0000-000090000000}"/>
    <cellStyle name="20% - Accent3 2 2 2" xfId="146" xr:uid="{00000000-0005-0000-0000-000091000000}"/>
    <cellStyle name="20% - Accent3 2 3" xfId="147" xr:uid="{00000000-0005-0000-0000-000092000000}"/>
    <cellStyle name="20% - Accent3 2 3 2" xfId="148" xr:uid="{00000000-0005-0000-0000-000093000000}"/>
    <cellStyle name="20% - Accent3 2 3 2 2" xfId="149" xr:uid="{00000000-0005-0000-0000-000094000000}"/>
    <cellStyle name="20% - Accent3 2 3 3" xfId="150" xr:uid="{00000000-0005-0000-0000-000095000000}"/>
    <cellStyle name="20% - Accent3 2 3 4" xfId="151" xr:uid="{00000000-0005-0000-0000-000096000000}"/>
    <cellStyle name="20% - Accent3 2 3 5" xfId="152" xr:uid="{00000000-0005-0000-0000-000097000000}"/>
    <cellStyle name="20% - Accent3 2 3 6" xfId="153" xr:uid="{00000000-0005-0000-0000-000098000000}"/>
    <cellStyle name="20% - Accent3 2 4" xfId="154" xr:uid="{00000000-0005-0000-0000-000099000000}"/>
    <cellStyle name="20% - Accent3 2 4 2" xfId="155" xr:uid="{00000000-0005-0000-0000-00009A000000}"/>
    <cellStyle name="20% - Accent3 2 4 3" xfId="156" xr:uid="{00000000-0005-0000-0000-00009B000000}"/>
    <cellStyle name="20% - Accent3 2 4 4" xfId="157" xr:uid="{00000000-0005-0000-0000-00009C000000}"/>
    <cellStyle name="20% - Accent3 2 4 5" xfId="158" xr:uid="{00000000-0005-0000-0000-00009D000000}"/>
    <cellStyle name="20% - Accent3 2 5" xfId="159" xr:uid="{00000000-0005-0000-0000-00009E000000}"/>
    <cellStyle name="20% - Accent3 2 5 2" xfId="160" xr:uid="{00000000-0005-0000-0000-00009F000000}"/>
    <cellStyle name="20% - Accent3 2 5 3" xfId="161" xr:uid="{00000000-0005-0000-0000-0000A0000000}"/>
    <cellStyle name="20% - Accent3 2 6" xfId="162" xr:uid="{00000000-0005-0000-0000-0000A1000000}"/>
    <cellStyle name="20% - Accent3 3" xfId="163" xr:uid="{00000000-0005-0000-0000-0000A2000000}"/>
    <cellStyle name="20% - Accent3 3 2" xfId="164" xr:uid="{00000000-0005-0000-0000-0000A3000000}"/>
    <cellStyle name="20% - Accent3 3 3" xfId="165" xr:uid="{00000000-0005-0000-0000-0000A4000000}"/>
    <cellStyle name="20% - Accent3 3 4" xfId="166" xr:uid="{00000000-0005-0000-0000-0000A5000000}"/>
    <cellStyle name="20% - Accent3 3 5" xfId="167" xr:uid="{00000000-0005-0000-0000-0000A6000000}"/>
    <cellStyle name="20% - Accent3 4" xfId="168" xr:uid="{00000000-0005-0000-0000-0000A7000000}"/>
    <cellStyle name="20% - Accent3 4 2" xfId="169" xr:uid="{00000000-0005-0000-0000-0000A8000000}"/>
    <cellStyle name="20% - Accent3 4 2 2" xfId="170" xr:uid="{00000000-0005-0000-0000-0000A9000000}"/>
    <cellStyle name="20% - Accent3 4 2 3" xfId="171" xr:uid="{00000000-0005-0000-0000-0000AA000000}"/>
    <cellStyle name="20% - Accent3 4 2 4" xfId="172" xr:uid="{00000000-0005-0000-0000-0000AB000000}"/>
    <cellStyle name="20% - Accent3 4 3" xfId="173" xr:uid="{00000000-0005-0000-0000-0000AC000000}"/>
    <cellStyle name="20% - Accent3 4 3 2" xfId="174" xr:uid="{00000000-0005-0000-0000-0000AD000000}"/>
    <cellStyle name="20% - Accent3 4 3 3" xfId="175" xr:uid="{00000000-0005-0000-0000-0000AE000000}"/>
    <cellStyle name="20% - Accent3 4 3 4" xfId="176" xr:uid="{00000000-0005-0000-0000-0000AF000000}"/>
    <cellStyle name="20% - Accent3 4 4" xfId="177" xr:uid="{00000000-0005-0000-0000-0000B0000000}"/>
    <cellStyle name="20% - Accent3 5" xfId="178" xr:uid="{00000000-0005-0000-0000-0000B1000000}"/>
    <cellStyle name="20% - Accent3 5 2" xfId="179" xr:uid="{00000000-0005-0000-0000-0000B2000000}"/>
    <cellStyle name="20% - Accent3 5 2 2" xfId="180" xr:uid="{00000000-0005-0000-0000-0000B3000000}"/>
    <cellStyle name="20% - Accent3 5 2 3" xfId="181" xr:uid="{00000000-0005-0000-0000-0000B4000000}"/>
    <cellStyle name="20% - Accent3 5 3" xfId="182" xr:uid="{00000000-0005-0000-0000-0000B5000000}"/>
    <cellStyle name="20% - Accent3 5 3 2" xfId="183" xr:uid="{00000000-0005-0000-0000-0000B6000000}"/>
    <cellStyle name="20% - Accent3 5 3 3" xfId="184" xr:uid="{00000000-0005-0000-0000-0000B7000000}"/>
    <cellStyle name="20% - Accent3 5 4" xfId="185" xr:uid="{00000000-0005-0000-0000-0000B8000000}"/>
    <cellStyle name="20% - Accent3 5 4 2" xfId="186" xr:uid="{00000000-0005-0000-0000-0000B9000000}"/>
    <cellStyle name="20% - Accent3 5 4 2 2" xfId="187" xr:uid="{00000000-0005-0000-0000-0000BA000000}"/>
    <cellStyle name="20% - Accent3 5 4 3" xfId="188" xr:uid="{00000000-0005-0000-0000-0000BB000000}"/>
    <cellStyle name="20% - Accent3 5 4 3 2" xfId="189" xr:uid="{00000000-0005-0000-0000-0000BC000000}"/>
    <cellStyle name="20% - Accent3 6" xfId="190" xr:uid="{00000000-0005-0000-0000-0000BD000000}"/>
    <cellStyle name="20% - Accent3 6 2" xfId="191" xr:uid="{00000000-0005-0000-0000-0000BE000000}"/>
    <cellStyle name="20% - Accent3 6 3" xfId="192" xr:uid="{00000000-0005-0000-0000-0000BF000000}"/>
    <cellStyle name="20% - Accent3 6 4" xfId="193" xr:uid="{00000000-0005-0000-0000-0000C0000000}"/>
    <cellStyle name="20% - Accent3 7" xfId="194" xr:uid="{00000000-0005-0000-0000-0000C1000000}"/>
    <cellStyle name="20% - Accent3 7 2" xfId="195" xr:uid="{00000000-0005-0000-0000-0000C2000000}"/>
    <cellStyle name="20% - Accent3 7 3" xfId="196" xr:uid="{00000000-0005-0000-0000-0000C3000000}"/>
    <cellStyle name="20% - Accent3 8" xfId="197" xr:uid="{00000000-0005-0000-0000-0000C4000000}"/>
    <cellStyle name="20% - Accent3 8 2" xfId="198" xr:uid="{00000000-0005-0000-0000-0000C5000000}"/>
    <cellStyle name="20% - Accent3 9" xfId="199" xr:uid="{00000000-0005-0000-0000-0000C6000000}"/>
    <cellStyle name="20% - Accent3 9 2" xfId="200" xr:uid="{00000000-0005-0000-0000-0000C7000000}"/>
    <cellStyle name="20% - Accent3 9 3" xfId="201" xr:uid="{00000000-0005-0000-0000-0000C8000000}"/>
    <cellStyle name="20% - Accent3 9 3 2" xfId="202" xr:uid="{00000000-0005-0000-0000-0000C9000000}"/>
    <cellStyle name="20% - Accent3 9 4" xfId="203" xr:uid="{00000000-0005-0000-0000-0000CA000000}"/>
    <cellStyle name="20% - Accent3 9 4 2" xfId="204" xr:uid="{00000000-0005-0000-0000-0000CB000000}"/>
    <cellStyle name="20% - Accent4" xfId="205" builtinId="42" customBuiltin="1"/>
    <cellStyle name="20% - Accent4 10" xfId="206" xr:uid="{00000000-0005-0000-0000-0000CD000000}"/>
    <cellStyle name="20% - Accent4 11" xfId="207" xr:uid="{00000000-0005-0000-0000-0000CE000000}"/>
    <cellStyle name="20% - Accent4 12" xfId="208" xr:uid="{00000000-0005-0000-0000-0000CF000000}"/>
    <cellStyle name="20% - Accent4 13" xfId="209" xr:uid="{00000000-0005-0000-0000-0000D0000000}"/>
    <cellStyle name="20% - Accent4 14" xfId="210" xr:uid="{00000000-0005-0000-0000-0000D1000000}"/>
    <cellStyle name="20% - Accent4 15" xfId="211" xr:uid="{00000000-0005-0000-0000-0000D2000000}"/>
    <cellStyle name="20% - Accent4 2" xfId="212" xr:uid="{00000000-0005-0000-0000-0000D3000000}"/>
    <cellStyle name="20% - Accent4 2 2" xfId="213" xr:uid="{00000000-0005-0000-0000-0000D4000000}"/>
    <cellStyle name="20% - Accent4 2 2 2" xfId="214" xr:uid="{00000000-0005-0000-0000-0000D5000000}"/>
    <cellStyle name="20% - Accent4 2 3" xfId="215" xr:uid="{00000000-0005-0000-0000-0000D6000000}"/>
    <cellStyle name="20% - Accent4 2 3 2" xfId="216" xr:uid="{00000000-0005-0000-0000-0000D7000000}"/>
    <cellStyle name="20% - Accent4 2 3 2 2" xfId="217" xr:uid="{00000000-0005-0000-0000-0000D8000000}"/>
    <cellStyle name="20% - Accent4 2 3 3" xfId="218" xr:uid="{00000000-0005-0000-0000-0000D9000000}"/>
    <cellStyle name="20% - Accent4 2 3 4" xfId="219" xr:uid="{00000000-0005-0000-0000-0000DA000000}"/>
    <cellStyle name="20% - Accent4 2 3 5" xfId="220" xr:uid="{00000000-0005-0000-0000-0000DB000000}"/>
    <cellStyle name="20% - Accent4 2 3 6" xfId="221" xr:uid="{00000000-0005-0000-0000-0000DC000000}"/>
    <cellStyle name="20% - Accent4 2 4" xfId="222" xr:uid="{00000000-0005-0000-0000-0000DD000000}"/>
    <cellStyle name="20% - Accent4 2 4 2" xfId="223" xr:uid="{00000000-0005-0000-0000-0000DE000000}"/>
    <cellStyle name="20% - Accent4 2 4 3" xfId="224" xr:uid="{00000000-0005-0000-0000-0000DF000000}"/>
    <cellStyle name="20% - Accent4 2 4 4" xfId="225" xr:uid="{00000000-0005-0000-0000-0000E0000000}"/>
    <cellStyle name="20% - Accent4 2 4 5" xfId="226" xr:uid="{00000000-0005-0000-0000-0000E1000000}"/>
    <cellStyle name="20% - Accent4 2 5" xfId="227" xr:uid="{00000000-0005-0000-0000-0000E2000000}"/>
    <cellStyle name="20% - Accent4 2 5 2" xfId="228" xr:uid="{00000000-0005-0000-0000-0000E3000000}"/>
    <cellStyle name="20% - Accent4 2 5 3" xfId="229" xr:uid="{00000000-0005-0000-0000-0000E4000000}"/>
    <cellStyle name="20% - Accent4 2 6" xfId="230" xr:uid="{00000000-0005-0000-0000-0000E5000000}"/>
    <cellStyle name="20% - Accent4 3" xfId="231" xr:uid="{00000000-0005-0000-0000-0000E6000000}"/>
    <cellStyle name="20% - Accent4 3 2" xfId="232" xr:uid="{00000000-0005-0000-0000-0000E7000000}"/>
    <cellStyle name="20% - Accent4 3 3" xfId="233" xr:uid="{00000000-0005-0000-0000-0000E8000000}"/>
    <cellStyle name="20% - Accent4 3 4" xfId="234" xr:uid="{00000000-0005-0000-0000-0000E9000000}"/>
    <cellStyle name="20% - Accent4 3 5" xfId="235" xr:uid="{00000000-0005-0000-0000-0000EA000000}"/>
    <cellStyle name="20% - Accent4 4" xfId="236" xr:uid="{00000000-0005-0000-0000-0000EB000000}"/>
    <cellStyle name="20% - Accent4 4 2" xfId="237" xr:uid="{00000000-0005-0000-0000-0000EC000000}"/>
    <cellStyle name="20% - Accent4 4 2 2" xfId="238" xr:uid="{00000000-0005-0000-0000-0000ED000000}"/>
    <cellStyle name="20% - Accent4 4 2 3" xfId="239" xr:uid="{00000000-0005-0000-0000-0000EE000000}"/>
    <cellStyle name="20% - Accent4 4 2 4" xfId="240" xr:uid="{00000000-0005-0000-0000-0000EF000000}"/>
    <cellStyle name="20% - Accent4 4 3" xfId="241" xr:uid="{00000000-0005-0000-0000-0000F0000000}"/>
    <cellStyle name="20% - Accent4 4 3 2" xfId="242" xr:uid="{00000000-0005-0000-0000-0000F1000000}"/>
    <cellStyle name="20% - Accent4 4 3 3" xfId="243" xr:uid="{00000000-0005-0000-0000-0000F2000000}"/>
    <cellStyle name="20% - Accent4 4 3 4" xfId="244" xr:uid="{00000000-0005-0000-0000-0000F3000000}"/>
    <cellStyle name="20% - Accent4 4 4" xfId="245" xr:uid="{00000000-0005-0000-0000-0000F4000000}"/>
    <cellStyle name="20% - Accent4 5" xfId="246" xr:uid="{00000000-0005-0000-0000-0000F5000000}"/>
    <cellStyle name="20% - Accent4 5 2" xfId="247" xr:uid="{00000000-0005-0000-0000-0000F6000000}"/>
    <cellStyle name="20% - Accent4 5 2 2" xfId="248" xr:uid="{00000000-0005-0000-0000-0000F7000000}"/>
    <cellStyle name="20% - Accent4 5 2 3" xfId="249" xr:uid="{00000000-0005-0000-0000-0000F8000000}"/>
    <cellStyle name="20% - Accent4 5 3" xfId="250" xr:uid="{00000000-0005-0000-0000-0000F9000000}"/>
    <cellStyle name="20% - Accent4 5 3 2" xfId="251" xr:uid="{00000000-0005-0000-0000-0000FA000000}"/>
    <cellStyle name="20% - Accent4 5 3 3" xfId="252" xr:uid="{00000000-0005-0000-0000-0000FB000000}"/>
    <cellStyle name="20% - Accent4 5 4" xfId="253" xr:uid="{00000000-0005-0000-0000-0000FC000000}"/>
    <cellStyle name="20% - Accent4 5 4 2" xfId="254" xr:uid="{00000000-0005-0000-0000-0000FD000000}"/>
    <cellStyle name="20% - Accent4 5 4 2 2" xfId="255" xr:uid="{00000000-0005-0000-0000-0000FE000000}"/>
    <cellStyle name="20% - Accent4 5 4 3" xfId="256" xr:uid="{00000000-0005-0000-0000-0000FF000000}"/>
    <cellStyle name="20% - Accent4 5 4 3 2" xfId="257" xr:uid="{00000000-0005-0000-0000-000000010000}"/>
    <cellStyle name="20% - Accent4 6" xfId="258" xr:uid="{00000000-0005-0000-0000-000001010000}"/>
    <cellStyle name="20% - Accent4 6 2" xfId="259" xr:uid="{00000000-0005-0000-0000-000002010000}"/>
    <cellStyle name="20% - Accent4 6 3" xfId="260" xr:uid="{00000000-0005-0000-0000-000003010000}"/>
    <cellStyle name="20% - Accent4 6 4" xfId="261" xr:uid="{00000000-0005-0000-0000-000004010000}"/>
    <cellStyle name="20% - Accent4 7" xfId="262" xr:uid="{00000000-0005-0000-0000-000005010000}"/>
    <cellStyle name="20% - Accent4 7 2" xfId="263" xr:uid="{00000000-0005-0000-0000-000006010000}"/>
    <cellStyle name="20% - Accent4 7 3" xfId="264" xr:uid="{00000000-0005-0000-0000-000007010000}"/>
    <cellStyle name="20% - Accent4 8" xfId="265" xr:uid="{00000000-0005-0000-0000-000008010000}"/>
    <cellStyle name="20% - Accent4 8 2" xfId="266" xr:uid="{00000000-0005-0000-0000-000009010000}"/>
    <cellStyle name="20% - Accent4 9" xfId="267" xr:uid="{00000000-0005-0000-0000-00000A010000}"/>
    <cellStyle name="20% - Accent4 9 2" xfId="268" xr:uid="{00000000-0005-0000-0000-00000B010000}"/>
    <cellStyle name="20% - Accent4 9 3" xfId="269" xr:uid="{00000000-0005-0000-0000-00000C010000}"/>
    <cellStyle name="20% - Accent4 9 3 2" xfId="270" xr:uid="{00000000-0005-0000-0000-00000D010000}"/>
    <cellStyle name="20% - Accent4 9 4" xfId="271" xr:uid="{00000000-0005-0000-0000-00000E010000}"/>
    <cellStyle name="20% - Accent4 9 4 2" xfId="272" xr:uid="{00000000-0005-0000-0000-00000F010000}"/>
    <cellStyle name="20% - Accent5" xfId="273" builtinId="46" customBuiltin="1"/>
    <cellStyle name="20% - Accent5 10" xfId="274" xr:uid="{00000000-0005-0000-0000-000011010000}"/>
    <cellStyle name="20% - Accent5 11" xfId="275" xr:uid="{00000000-0005-0000-0000-000012010000}"/>
    <cellStyle name="20% - Accent5 12" xfId="276" xr:uid="{00000000-0005-0000-0000-000013010000}"/>
    <cellStyle name="20% - Accent5 13" xfId="277" xr:uid="{00000000-0005-0000-0000-000014010000}"/>
    <cellStyle name="20% - Accent5 14" xfId="278" xr:uid="{00000000-0005-0000-0000-000015010000}"/>
    <cellStyle name="20% - Accent5 15" xfId="279" xr:uid="{00000000-0005-0000-0000-000016010000}"/>
    <cellStyle name="20% - Accent5 2" xfId="280" xr:uid="{00000000-0005-0000-0000-000017010000}"/>
    <cellStyle name="20% - Accent5 2 2" xfId="281" xr:uid="{00000000-0005-0000-0000-000018010000}"/>
    <cellStyle name="20% - Accent5 2 2 2" xfId="282" xr:uid="{00000000-0005-0000-0000-000019010000}"/>
    <cellStyle name="20% - Accent5 2 3" xfId="283" xr:uid="{00000000-0005-0000-0000-00001A010000}"/>
    <cellStyle name="20% - Accent5 2 3 2" xfId="284" xr:uid="{00000000-0005-0000-0000-00001B010000}"/>
    <cellStyle name="20% - Accent5 2 3 2 2" xfId="285" xr:uid="{00000000-0005-0000-0000-00001C010000}"/>
    <cellStyle name="20% - Accent5 2 3 3" xfId="286" xr:uid="{00000000-0005-0000-0000-00001D010000}"/>
    <cellStyle name="20% - Accent5 2 3 4" xfId="287" xr:uid="{00000000-0005-0000-0000-00001E010000}"/>
    <cellStyle name="20% - Accent5 2 3 5" xfId="288" xr:uid="{00000000-0005-0000-0000-00001F010000}"/>
    <cellStyle name="20% - Accent5 2 3 6" xfId="289" xr:uid="{00000000-0005-0000-0000-000020010000}"/>
    <cellStyle name="20% - Accent5 2 4" xfId="290" xr:uid="{00000000-0005-0000-0000-000021010000}"/>
    <cellStyle name="20% - Accent5 2 4 2" xfId="291" xr:uid="{00000000-0005-0000-0000-000022010000}"/>
    <cellStyle name="20% - Accent5 2 4 3" xfId="292" xr:uid="{00000000-0005-0000-0000-000023010000}"/>
    <cellStyle name="20% - Accent5 2 4 4" xfId="293" xr:uid="{00000000-0005-0000-0000-000024010000}"/>
    <cellStyle name="20% - Accent5 2 4 5" xfId="294" xr:uid="{00000000-0005-0000-0000-000025010000}"/>
    <cellStyle name="20% - Accent5 2 5" xfId="295" xr:uid="{00000000-0005-0000-0000-000026010000}"/>
    <cellStyle name="20% - Accent5 2 5 2" xfId="296" xr:uid="{00000000-0005-0000-0000-000027010000}"/>
    <cellStyle name="20% - Accent5 2 5 3" xfId="297" xr:uid="{00000000-0005-0000-0000-000028010000}"/>
    <cellStyle name="20% - Accent5 2 6" xfId="298" xr:uid="{00000000-0005-0000-0000-000029010000}"/>
    <cellStyle name="20% - Accent5 3" xfId="299" xr:uid="{00000000-0005-0000-0000-00002A010000}"/>
    <cellStyle name="20% - Accent5 3 2" xfId="300" xr:uid="{00000000-0005-0000-0000-00002B010000}"/>
    <cellStyle name="20% - Accent5 3 3" xfId="301" xr:uid="{00000000-0005-0000-0000-00002C010000}"/>
    <cellStyle name="20% - Accent5 3 4" xfId="302" xr:uid="{00000000-0005-0000-0000-00002D010000}"/>
    <cellStyle name="20% - Accent5 3 5" xfId="303" xr:uid="{00000000-0005-0000-0000-00002E010000}"/>
    <cellStyle name="20% - Accent5 4" xfId="304" xr:uid="{00000000-0005-0000-0000-00002F010000}"/>
    <cellStyle name="20% - Accent5 4 2" xfId="305" xr:uid="{00000000-0005-0000-0000-000030010000}"/>
    <cellStyle name="20% - Accent5 4 2 2" xfId="306" xr:uid="{00000000-0005-0000-0000-000031010000}"/>
    <cellStyle name="20% - Accent5 4 2 3" xfId="307" xr:uid="{00000000-0005-0000-0000-000032010000}"/>
    <cellStyle name="20% - Accent5 4 2 4" xfId="308" xr:uid="{00000000-0005-0000-0000-000033010000}"/>
    <cellStyle name="20% - Accent5 4 3" xfId="309" xr:uid="{00000000-0005-0000-0000-000034010000}"/>
    <cellStyle name="20% - Accent5 4 3 2" xfId="310" xr:uid="{00000000-0005-0000-0000-000035010000}"/>
    <cellStyle name="20% - Accent5 4 3 3" xfId="311" xr:uid="{00000000-0005-0000-0000-000036010000}"/>
    <cellStyle name="20% - Accent5 4 3 4" xfId="312" xr:uid="{00000000-0005-0000-0000-000037010000}"/>
    <cellStyle name="20% - Accent5 4 4" xfId="313" xr:uid="{00000000-0005-0000-0000-000038010000}"/>
    <cellStyle name="20% - Accent5 5" xfId="314" xr:uid="{00000000-0005-0000-0000-000039010000}"/>
    <cellStyle name="20% - Accent5 5 2" xfId="315" xr:uid="{00000000-0005-0000-0000-00003A010000}"/>
    <cellStyle name="20% - Accent5 5 2 2" xfId="316" xr:uid="{00000000-0005-0000-0000-00003B010000}"/>
    <cellStyle name="20% - Accent5 5 2 3" xfId="317" xr:uid="{00000000-0005-0000-0000-00003C010000}"/>
    <cellStyle name="20% - Accent5 5 3" xfId="318" xr:uid="{00000000-0005-0000-0000-00003D010000}"/>
    <cellStyle name="20% - Accent5 5 3 2" xfId="319" xr:uid="{00000000-0005-0000-0000-00003E010000}"/>
    <cellStyle name="20% - Accent5 5 3 3" xfId="320" xr:uid="{00000000-0005-0000-0000-00003F010000}"/>
    <cellStyle name="20% - Accent5 5 4" xfId="321" xr:uid="{00000000-0005-0000-0000-000040010000}"/>
    <cellStyle name="20% - Accent5 5 4 2" xfId="322" xr:uid="{00000000-0005-0000-0000-000041010000}"/>
    <cellStyle name="20% - Accent5 5 4 2 2" xfId="323" xr:uid="{00000000-0005-0000-0000-000042010000}"/>
    <cellStyle name="20% - Accent5 5 4 3" xfId="324" xr:uid="{00000000-0005-0000-0000-000043010000}"/>
    <cellStyle name="20% - Accent5 5 4 3 2" xfId="325" xr:uid="{00000000-0005-0000-0000-000044010000}"/>
    <cellStyle name="20% - Accent5 6" xfId="326" xr:uid="{00000000-0005-0000-0000-000045010000}"/>
    <cellStyle name="20% - Accent5 6 2" xfId="327" xr:uid="{00000000-0005-0000-0000-000046010000}"/>
    <cellStyle name="20% - Accent5 6 3" xfId="328" xr:uid="{00000000-0005-0000-0000-000047010000}"/>
    <cellStyle name="20% - Accent5 6 4" xfId="329" xr:uid="{00000000-0005-0000-0000-000048010000}"/>
    <cellStyle name="20% - Accent5 7" xfId="330" xr:uid="{00000000-0005-0000-0000-000049010000}"/>
    <cellStyle name="20% - Accent5 7 2" xfId="331" xr:uid="{00000000-0005-0000-0000-00004A010000}"/>
    <cellStyle name="20% - Accent5 7 3" xfId="332" xr:uid="{00000000-0005-0000-0000-00004B010000}"/>
    <cellStyle name="20% - Accent5 8" xfId="333" xr:uid="{00000000-0005-0000-0000-00004C010000}"/>
    <cellStyle name="20% - Accent5 8 2" xfId="334" xr:uid="{00000000-0005-0000-0000-00004D010000}"/>
    <cellStyle name="20% - Accent5 9" xfId="335" xr:uid="{00000000-0005-0000-0000-00004E010000}"/>
    <cellStyle name="20% - Accent5 9 2" xfId="336" xr:uid="{00000000-0005-0000-0000-00004F010000}"/>
    <cellStyle name="20% - Accent5 9 3" xfId="337" xr:uid="{00000000-0005-0000-0000-000050010000}"/>
    <cellStyle name="20% - Accent5 9 3 2" xfId="338" xr:uid="{00000000-0005-0000-0000-000051010000}"/>
    <cellStyle name="20% - Accent5 9 4" xfId="339" xr:uid="{00000000-0005-0000-0000-000052010000}"/>
    <cellStyle name="20% - Accent5 9 4 2" xfId="340" xr:uid="{00000000-0005-0000-0000-000053010000}"/>
    <cellStyle name="20% - Accent6" xfId="341" builtinId="50" customBuiltin="1"/>
    <cellStyle name="20% - Accent6 10" xfId="342" xr:uid="{00000000-0005-0000-0000-000055010000}"/>
    <cellStyle name="20% - Accent6 11" xfId="343" xr:uid="{00000000-0005-0000-0000-000056010000}"/>
    <cellStyle name="20% - Accent6 12" xfId="344" xr:uid="{00000000-0005-0000-0000-000057010000}"/>
    <cellStyle name="20% - Accent6 13" xfId="345" xr:uid="{00000000-0005-0000-0000-000058010000}"/>
    <cellStyle name="20% - Accent6 14" xfId="346" xr:uid="{00000000-0005-0000-0000-000059010000}"/>
    <cellStyle name="20% - Accent6 15" xfId="347" xr:uid="{00000000-0005-0000-0000-00005A010000}"/>
    <cellStyle name="20% - Accent6 2" xfId="348" xr:uid="{00000000-0005-0000-0000-00005B010000}"/>
    <cellStyle name="20% - Accent6 2 2" xfId="349" xr:uid="{00000000-0005-0000-0000-00005C010000}"/>
    <cellStyle name="20% - Accent6 2 2 2" xfId="350" xr:uid="{00000000-0005-0000-0000-00005D010000}"/>
    <cellStyle name="20% - Accent6 2 3" xfId="351" xr:uid="{00000000-0005-0000-0000-00005E010000}"/>
    <cellStyle name="20% - Accent6 2 3 2" xfId="352" xr:uid="{00000000-0005-0000-0000-00005F010000}"/>
    <cellStyle name="20% - Accent6 2 3 2 2" xfId="353" xr:uid="{00000000-0005-0000-0000-000060010000}"/>
    <cellStyle name="20% - Accent6 2 3 3" xfId="354" xr:uid="{00000000-0005-0000-0000-000061010000}"/>
    <cellStyle name="20% - Accent6 2 3 4" xfId="355" xr:uid="{00000000-0005-0000-0000-000062010000}"/>
    <cellStyle name="20% - Accent6 2 3 5" xfId="356" xr:uid="{00000000-0005-0000-0000-000063010000}"/>
    <cellStyle name="20% - Accent6 2 3 6" xfId="357" xr:uid="{00000000-0005-0000-0000-000064010000}"/>
    <cellStyle name="20% - Accent6 2 4" xfId="358" xr:uid="{00000000-0005-0000-0000-000065010000}"/>
    <cellStyle name="20% - Accent6 2 4 2" xfId="359" xr:uid="{00000000-0005-0000-0000-000066010000}"/>
    <cellStyle name="20% - Accent6 2 4 3" xfId="360" xr:uid="{00000000-0005-0000-0000-000067010000}"/>
    <cellStyle name="20% - Accent6 2 4 4" xfId="361" xr:uid="{00000000-0005-0000-0000-000068010000}"/>
    <cellStyle name="20% - Accent6 2 4 5" xfId="362" xr:uid="{00000000-0005-0000-0000-000069010000}"/>
    <cellStyle name="20% - Accent6 2 5" xfId="363" xr:uid="{00000000-0005-0000-0000-00006A010000}"/>
    <cellStyle name="20% - Accent6 2 5 2" xfId="364" xr:uid="{00000000-0005-0000-0000-00006B010000}"/>
    <cellStyle name="20% - Accent6 2 5 3" xfId="365" xr:uid="{00000000-0005-0000-0000-00006C010000}"/>
    <cellStyle name="20% - Accent6 2 6" xfId="366" xr:uid="{00000000-0005-0000-0000-00006D010000}"/>
    <cellStyle name="20% - Accent6 3" xfId="367" xr:uid="{00000000-0005-0000-0000-00006E010000}"/>
    <cellStyle name="20% - Accent6 3 2" xfId="368" xr:uid="{00000000-0005-0000-0000-00006F010000}"/>
    <cellStyle name="20% - Accent6 3 3" xfId="369" xr:uid="{00000000-0005-0000-0000-000070010000}"/>
    <cellStyle name="20% - Accent6 3 4" xfId="370" xr:uid="{00000000-0005-0000-0000-000071010000}"/>
    <cellStyle name="20% - Accent6 3 5" xfId="371" xr:uid="{00000000-0005-0000-0000-000072010000}"/>
    <cellStyle name="20% - Accent6 4" xfId="372" xr:uid="{00000000-0005-0000-0000-000073010000}"/>
    <cellStyle name="20% - Accent6 4 2" xfId="373" xr:uid="{00000000-0005-0000-0000-000074010000}"/>
    <cellStyle name="20% - Accent6 4 2 2" xfId="374" xr:uid="{00000000-0005-0000-0000-000075010000}"/>
    <cellStyle name="20% - Accent6 4 2 3" xfId="375" xr:uid="{00000000-0005-0000-0000-000076010000}"/>
    <cellStyle name="20% - Accent6 4 2 4" xfId="376" xr:uid="{00000000-0005-0000-0000-000077010000}"/>
    <cellStyle name="20% - Accent6 4 3" xfId="377" xr:uid="{00000000-0005-0000-0000-000078010000}"/>
    <cellStyle name="20% - Accent6 4 3 2" xfId="378" xr:uid="{00000000-0005-0000-0000-000079010000}"/>
    <cellStyle name="20% - Accent6 4 3 3" xfId="379" xr:uid="{00000000-0005-0000-0000-00007A010000}"/>
    <cellStyle name="20% - Accent6 4 3 4" xfId="380" xr:uid="{00000000-0005-0000-0000-00007B010000}"/>
    <cellStyle name="20% - Accent6 4 4" xfId="381" xr:uid="{00000000-0005-0000-0000-00007C010000}"/>
    <cellStyle name="20% - Accent6 5" xfId="382" xr:uid="{00000000-0005-0000-0000-00007D010000}"/>
    <cellStyle name="20% - Accent6 5 2" xfId="383" xr:uid="{00000000-0005-0000-0000-00007E010000}"/>
    <cellStyle name="20% - Accent6 5 2 2" xfId="384" xr:uid="{00000000-0005-0000-0000-00007F010000}"/>
    <cellStyle name="20% - Accent6 5 2 3" xfId="385" xr:uid="{00000000-0005-0000-0000-000080010000}"/>
    <cellStyle name="20% - Accent6 5 3" xfId="386" xr:uid="{00000000-0005-0000-0000-000081010000}"/>
    <cellStyle name="20% - Accent6 5 3 2" xfId="387" xr:uid="{00000000-0005-0000-0000-000082010000}"/>
    <cellStyle name="20% - Accent6 5 3 3" xfId="388" xr:uid="{00000000-0005-0000-0000-000083010000}"/>
    <cellStyle name="20% - Accent6 5 4" xfId="389" xr:uid="{00000000-0005-0000-0000-000084010000}"/>
    <cellStyle name="20% - Accent6 5 4 2" xfId="390" xr:uid="{00000000-0005-0000-0000-000085010000}"/>
    <cellStyle name="20% - Accent6 5 4 2 2" xfId="391" xr:uid="{00000000-0005-0000-0000-000086010000}"/>
    <cellStyle name="20% - Accent6 5 4 3" xfId="392" xr:uid="{00000000-0005-0000-0000-000087010000}"/>
    <cellStyle name="20% - Accent6 5 4 3 2" xfId="393" xr:uid="{00000000-0005-0000-0000-000088010000}"/>
    <cellStyle name="20% - Accent6 6" xfId="394" xr:uid="{00000000-0005-0000-0000-000089010000}"/>
    <cellStyle name="20% - Accent6 6 2" xfId="395" xr:uid="{00000000-0005-0000-0000-00008A010000}"/>
    <cellStyle name="20% - Accent6 6 3" xfId="396" xr:uid="{00000000-0005-0000-0000-00008B010000}"/>
    <cellStyle name="20% - Accent6 6 4" xfId="397" xr:uid="{00000000-0005-0000-0000-00008C010000}"/>
    <cellStyle name="20% - Accent6 7" xfId="398" xr:uid="{00000000-0005-0000-0000-00008D010000}"/>
    <cellStyle name="20% - Accent6 7 2" xfId="399" xr:uid="{00000000-0005-0000-0000-00008E010000}"/>
    <cellStyle name="20% - Accent6 7 3" xfId="400" xr:uid="{00000000-0005-0000-0000-00008F010000}"/>
    <cellStyle name="20% - Accent6 8" xfId="401" xr:uid="{00000000-0005-0000-0000-000090010000}"/>
    <cellStyle name="20% - Accent6 8 2" xfId="402" xr:uid="{00000000-0005-0000-0000-000091010000}"/>
    <cellStyle name="20% - Accent6 9" xfId="403" xr:uid="{00000000-0005-0000-0000-000092010000}"/>
    <cellStyle name="20% - Accent6 9 2" xfId="404" xr:uid="{00000000-0005-0000-0000-000093010000}"/>
    <cellStyle name="20% - Accent6 9 3" xfId="405" xr:uid="{00000000-0005-0000-0000-000094010000}"/>
    <cellStyle name="20% - Accent6 9 3 2" xfId="406" xr:uid="{00000000-0005-0000-0000-000095010000}"/>
    <cellStyle name="20% - Accent6 9 4" xfId="407" xr:uid="{00000000-0005-0000-0000-000096010000}"/>
    <cellStyle name="20% - Accent6 9 4 2" xfId="408" xr:uid="{00000000-0005-0000-0000-000097010000}"/>
    <cellStyle name="40% - Accent1" xfId="409" builtinId="31" customBuiltin="1"/>
    <cellStyle name="40% - Accent1 10" xfId="410" xr:uid="{00000000-0005-0000-0000-000099010000}"/>
    <cellStyle name="40% - Accent1 11" xfId="411" xr:uid="{00000000-0005-0000-0000-00009A010000}"/>
    <cellStyle name="40% - Accent1 12" xfId="412" xr:uid="{00000000-0005-0000-0000-00009B010000}"/>
    <cellStyle name="40% - Accent1 13" xfId="413" xr:uid="{00000000-0005-0000-0000-00009C010000}"/>
    <cellStyle name="40% - Accent1 14" xfId="414" xr:uid="{00000000-0005-0000-0000-00009D010000}"/>
    <cellStyle name="40% - Accent1 15" xfId="415" xr:uid="{00000000-0005-0000-0000-00009E010000}"/>
    <cellStyle name="40% - Accent1 2" xfId="416" xr:uid="{00000000-0005-0000-0000-00009F010000}"/>
    <cellStyle name="40% - Accent1 2 2" xfId="417" xr:uid="{00000000-0005-0000-0000-0000A0010000}"/>
    <cellStyle name="40% - Accent1 2 2 2" xfId="418" xr:uid="{00000000-0005-0000-0000-0000A1010000}"/>
    <cellStyle name="40% - Accent1 2 3" xfId="419" xr:uid="{00000000-0005-0000-0000-0000A2010000}"/>
    <cellStyle name="40% - Accent1 2 3 2" xfId="420" xr:uid="{00000000-0005-0000-0000-0000A3010000}"/>
    <cellStyle name="40% - Accent1 2 3 2 2" xfId="421" xr:uid="{00000000-0005-0000-0000-0000A4010000}"/>
    <cellStyle name="40% - Accent1 2 3 3" xfId="422" xr:uid="{00000000-0005-0000-0000-0000A5010000}"/>
    <cellStyle name="40% - Accent1 2 3 4" xfId="423" xr:uid="{00000000-0005-0000-0000-0000A6010000}"/>
    <cellStyle name="40% - Accent1 2 3 5" xfId="424" xr:uid="{00000000-0005-0000-0000-0000A7010000}"/>
    <cellStyle name="40% - Accent1 2 3 6" xfId="425" xr:uid="{00000000-0005-0000-0000-0000A8010000}"/>
    <cellStyle name="40% - Accent1 2 4" xfId="426" xr:uid="{00000000-0005-0000-0000-0000A9010000}"/>
    <cellStyle name="40% - Accent1 2 4 2" xfId="427" xr:uid="{00000000-0005-0000-0000-0000AA010000}"/>
    <cellStyle name="40% - Accent1 2 4 3" xfId="428" xr:uid="{00000000-0005-0000-0000-0000AB010000}"/>
    <cellStyle name="40% - Accent1 2 4 4" xfId="429" xr:uid="{00000000-0005-0000-0000-0000AC010000}"/>
    <cellStyle name="40% - Accent1 2 4 5" xfId="430" xr:uid="{00000000-0005-0000-0000-0000AD010000}"/>
    <cellStyle name="40% - Accent1 2 5" xfId="431" xr:uid="{00000000-0005-0000-0000-0000AE010000}"/>
    <cellStyle name="40% - Accent1 2 5 2" xfId="432" xr:uid="{00000000-0005-0000-0000-0000AF010000}"/>
    <cellStyle name="40% - Accent1 2 5 3" xfId="433" xr:uid="{00000000-0005-0000-0000-0000B0010000}"/>
    <cellStyle name="40% - Accent1 2 6" xfId="434" xr:uid="{00000000-0005-0000-0000-0000B1010000}"/>
    <cellStyle name="40% - Accent1 3" xfId="435" xr:uid="{00000000-0005-0000-0000-0000B2010000}"/>
    <cellStyle name="40% - Accent1 3 2" xfId="436" xr:uid="{00000000-0005-0000-0000-0000B3010000}"/>
    <cellStyle name="40% - Accent1 3 3" xfId="437" xr:uid="{00000000-0005-0000-0000-0000B4010000}"/>
    <cellStyle name="40% - Accent1 3 4" xfId="438" xr:uid="{00000000-0005-0000-0000-0000B5010000}"/>
    <cellStyle name="40% - Accent1 3 5" xfId="439" xr:uid="{00000000-0005-0000-0000-0000B6010000}"/>
    <cellStyle name="40% - Accent1 4" xfId="440" xr:uid="{00000000-0005-0000-0000-0000B7010000}"/>
    <cellStyle name="40% - Accent1 4 2" xfId="441" xr:uid="{00000000-0005-0000-0000-0000B8010000}"/>
    <cellStyle name="40% - Accent1 4 2 2" xfId="442" xr:uid="{00000000-0005-0000-0000-0000B9010000}"/>
    <cellStyle name="40% - Accent1 4 2 3" xfId="443" xr:uid="{00000000-0005-0000-0000-0000BA010000}"/>
    <cellStyle name="40% - Accent1 4 2 4" xfId="444" xr:uid="{00000000-0005-0000-0000-0000BB010000}"/>
    <cellStyle name="40% - Accent1 4 3" xfId="445" xr:uid="{00000000-0005-0000-0000-0000BC010000}"/>
    <cellStyle name="40% - Accent1 4 3 2" xfId="446" xr:uid="{00000000-0005-0000-0000-0000BD010000}"/>
    <cellStyle name="40% - Accent1 4 3 3" xfId="447" xr:uid="{00000000-0005-0000-0000-0000BE010000}"/>
    <cellStyle name="40% - Accent1 4 3 4" xfId="448" xr:uid="{00000000-0005-0000-0000-0000BF010000}"/>
    <cellStyle name="40% - Accent1 4 4" xfId="449" xr:uid="{00000000-0005-0000-0000-0000C0010000}"/>
    <cellStyle name="40% - Accent1 5" xfId="450" xr:uid="{00000000-0005-0000-0000-0000C1010000}"/>
    <cellStyle name="40% - Accent1 5 2" xfId="451" xr:uid="{00000000-0005-0000-0000-0000C2010000}"/>
    <cellStyle name="40% - Accent1 5 2 2" xfId="452" xr:uid="{00000000-0005-0000-0000-0000C3010000}"/>
    <cellStyle name="40% - Accent1 5 2 3" xfId="453" xr:uid="{00000000-0005-0000-0000-0000C4010000}"/>
    <cellStyle name="40% - Accent1 5 3" xfId="454" xr:uid="{00000000-0005-0000-0000-0000C5010000}"/>
    <cellStyle name="40% - Accent1 5 3 2" xfId="455" xr:uid="{00000000-0005-0000-0000-0000C6010000}"/>
    <cellStyle name="40% - Accent1 5 3 3" xfId="456" xr:uid="{00000000-0005-0000-0000-0000C7010000}"/>
    <cellStyle name="40% - Accent1 5 4" xfId="457" xr:uid="{00000000-0005-0000-0000-0000C8010000}"/>
    <cellStyle name="40% - Accent1 5 4 2" xfId="458" xr:uid="{00000000-0005-0000-0000-0000C9010000}"/>
    <cellStyle name="40% - Accent1 5 4 2 2" xfId="459" xr:uid="{00000000-0005-0000-0000-0000CA010000}"/>
    <cellStyle name="40% - Accent1 5 4 3" xfId="460" xr:uid="{00000000-0005-0000-0000-0000CB010000}"/>
    <cellStyle name="40% - Accent1 5 4 3 2" xfId="461" xr:uid="{00000000-0005-0000-0000-0000CC010000}"/>
    <cellStyle name="40% - Accent1 6" xfId="462" xr:uid="{00000000-0005-0000-0000-0000CD010000}"/>
    <cellStyle name="40% - Accent1 6 2" xfId="463" xr:uid="{00000000-0005-0000-0000-0000CE010000}"/>
    <cellStyle name="40% - Accent1 6 3" xfId="464" xr:uid="{00000000-0005-0000-0000-0000CF010000}"/>
    <cellStyle name="40% - Accent1 6 4" xfId="465" xr:uid="{00000000-0005-0000-0000-0000D0010000}"/>
    <cellStyle name="40% - Accent1 7" xfId="466" xr:uid="{00000000-0005-0000-0000-0000D1010000}"/>
    <cellStyle name="40% - Accent1 7 2" xfId="467" xr:uid="{00000000-0005-0000-0000-0000D2010000}"/>
    <cellStyle name="40% - Accent1 7 3" xfId="468" xr:uid="{00000000-0005-0000-0000-0000D3010000}"/>
    <cellStyle name="40% - Accent1 8" xfId="469" xr:uid="{00000000-0005-0000-0000-0000D4010000}"/>
    <cellStyle name="40% - Accent1 8 2" xfId="470" xr:uid="{00000000-0005-0000-0000-0000D5010000}"/>
    <cellStyle name="40% - Accent1 9" xfId="471" xr:uid="{00000000-0005-0000-0000-0000D6010000}"/>
    <cellStyle name="40% - Accent1 9 2" xfId="472" xr:uid="{00000000-0005-0000-0000-0000D7010000}"/>
    <cellStyle name="40% - Accent1 9 3" xfId="473" xr:uid="{00000000-0005-0000-0000-0000D8010000}"/>
    <cellStyle name="40% - Accent1 9 3 2" xfId="474" xr:uid="{00000000-0005-0000-0000-0000D9010000}"/>
    <cellStyle name="40% - Accent1 9 4" xfId="475" xr:uid="{00000000-0005-0000-0000-0000DA010000}"/>
    <cellStyle name="40% - Accent1 9 4 2" xfId="476" xr:uid="{00000000-0005-0000-0000-0000DB010000}"/>
    <cellStyle name="40% - Accent2" xfId="477" builtinId="35" customBuiltin="1"/>
    <cellStyle name="40% - Accent2 10" xfId="478" xr:uid="{00000000-0005-0000-0000-0000DD010000}"/>
    <cellStyle name="40% - Accent2 11" xfId="479" xr:uid="{00000000-0005-0000-0000-0000DE010000}"/>
    <cellStyle name="40% - Accent2 12" xfId="480" xr:uid="{00000000-0005-0000-0000-0000DF010000}"/>
    <cellStyle name="40% - Accent2 13" xfId="481" xr:uid="{00000000-0005-0000-0000-0000E0010000}"/>
    <cellStyle name="40% - Accent2 14" xfId="482" xr:uid="{00000000-0005-0000-0000-0000E1010000}"/>
    <cellStyle name="40% - Accent2 15" xfId="483" xr:uid="{00000000-0005-0000-0000-0000E2010000}"/>
    <cellStyle name="40% - Accent2 2" xfId="484" xr:uid="{00000000-0005-0000-0000-0000E3010000}"/>
    <cellStyle name="40% - Accent2 2 2" xfId="485" xr:uid="{00000000-0005-0000-0000-0000E4010000}"/>
    <cellStyle name="40% - Accent2 2 2 2" xfId="486" xr:uid="{00000000-0005-0000-0000-0000E5010000}"/>
    <cellStyle name="40% - Accent2 2 3" xfId="487" xr:uid="{00000000-0005-0000-0000-0000E6010000}"/>
    <cellStyle name="40% - Accent2 2 3 2" xfId="488" xr:uid="{00000000-0005-0000-0000-0000E7010000}"/>
    <cellStyle name="40% - Accent2 2 3 2 2" xfId="489" xr:uid="{00000000-0005-0000-0000-0000E8010000}"/>
    <cellStyle name="40% - Accent2 2 3 3" xfId="490" xr:uid="{00000000-0005-0000-0000-0000E9010000}"/>
    <cellStyle name="40% - Accent2 2 3 4" xfId="491" xr:uid="{00000000-0005-0000-0000-0000EA010000}"/>
    <cellStyle name="40% - Accent2 2 3 5" xfId="492" xr:uid="{00000000-0005-0000-0000-0000EB010000}"/>
    <cellStyle name="40% - Accent2 2 3 6" xfId="493" xr:uid="{00000000-0005-0000-0000-0000EC010000}"/>
    <cellStyle name="40% - Accent2 2 4" xfId="494" xr:uid="{00000000-0005-0000-0000-0000ED010000}"/>
    <cellStyle name="40% - Accent2 2 4 2" xfId="495" xr:uid="{00000000-0005-0000-0000-0000EE010000}"/>
    <cellStyle name="40% - Accent2 2 4 3" xfId="496" xr:uid="{00000000-0005-0000-0000-0000EF010000}"/>
    <cellStyle name="40% - Accent2 2 4 4" xfId="497" xr:uid="{00000000-0005-0000-0000-0000F0010000}"/>
    <cellStyle name="40% - Accent2 2 4 5" xfId="498" xr:uid="{00000000-0005-0000-0000-0000F1010000}"/>
    <cellStyle name="40% - Accent2 2 5" xfId="499" xr:uid="{00000000-0005-0000-0000-0000F2010000}"/>
    <cellStyle name="40% - Accent2 2 5 2" xfId="500" xr:uid="{00000000-0005-0000-0000-0000F3010000}"/>
    <cellStyle name="40% - Accent2 2 5 3" xfId="501" xr:uid="{00000000-0005-0000-0000-0000F4010000}"/>
    <cellStyle name="40% - Accent2 2 6" xfId="502" xr:uid="{00000000-0005-0000-0000-0000F5010000}"/>
    <cellStyle name="40% - Accent2 3" xfId="503" xr:uid="{00000000-0005-0000-0000-0000F6010000}"/>
    <cellStyle name="40% - Accent2 3 2" xfId="504" xr:uid="{00000000-0005-0000-0000-0000F7010000}"/>
    <cellStyle name="40% - Accent2 3 3" xfId="505" xr:uid="{00000000-0005-0000-0000-0000F8010000}"/>
    <cellStyle name="40% - Accent2 3 4" xfId="506" xr:uid="{00000000-0005-0000-0000-0000F9010000}"/>
    <cellStyle name="40% - Accent2 3 5" xfId="507" xr:uid="{00000000-0005-0000-0000-0000FA010000}"/>
    <cellStyle name="40% - Accent2 4" xfId="508" xr:uid="{00000000-0005-0000-0000-0000FB010000}"/>
    <cellStyle name="40% - Accent2 4 2" xfId="509" xr:uid="{00000000-0005-0000-0000-0000FC010000}"/>
    <cellStyle name="40% - Accent2 4 2 2" xfId="510" xr:uid="{00000000-0005-0000-0000-0000FD010000}"/>
    <cellStyle name="40% - Accent2 4 2 3" xfId="511" xr:uid="{00000000-0005-0000-0000-0000FE010000}"/>
    <cellStyle name="40% - Accent2 4 2 4" xfId="512" xr:uid="{00000000-0005-0000-0000-0000FF010000}"/>
    <cellStyle name="40% - Accent2 4 3" xfId="513" xr:uid="{00000000-0005-0000-0000-000000020000}"/>
    <cellStyle name="40% - Accent2 4 3 2" xfId="514" xr:uid="{00000000-0005-0000-0000-000001020000}"/>
    <cellStyle name="40% - Accent2 4 3 3" xfId="515" xr:uid="{00000000-0005-0000-0000-000002020000}"/>
    <cellStyle name="40% - Accent2 4 3 4" xfId="516" xr:uid="{00000000-0005-0000-0000-000003020000}"/>
    <cellStyle name="40% - Accent2 4 4" xfId="517" xr:uid="{00000000-0005-0000-0000-000004020000}"/>
    <cellStyle name="40% - Accent2 5" xfId="518" xr:uid="{00000000-0005-0000-0000-000005020000}"/>
    <cellStyle name="40% - Accent2 5 2" xfId="519" xr:uid="{00000000-0005-0000-0000-000006020000}"/>
    <cellStyle name="40% - Accent2 5 2 2" xfId="520" xr:uid="{00000000-0005-0000-0000-000007020000}"/>
    <cellStyle name="40% - Accent2 5 2 3" xfId="521" xr:uid="{00000000-0005-0000-0000-000008020000}"/>
    <cellStyle name="40% - Accent2 5 3" xfId="522" xr:uid="{00000000-0005-0000-0000-000009020000}"/>
    <cellStyle name="40% - Accent2 5 3 2" xfId="523" xr:uid="{00000000-0005-0000-0000-00000A020000}"/>
    <cellStyle name="40% - Accent2 5 3 3" xfId="524" xr:uid="{00000000-0005-0000-0000-00000B020000}"/>
    <cellStyle name="40% - Accent2 5 4" xfId="525" xr:uid="{00000000-0005-0000-0000-00000C020000}"/>
    <cellStyle name="40% - Accent2 5 4 2" xfId="526" xr:uid="{00000000-0005-0000-0000-00000D020000}"/>
    <cellStyle name="40% - Accent2 5 4 2 2" xfId="527" xr:uid="{00000000-0005-0000-0000-00000E020000}"/>
    <cellStyle name="40% - Accent2 5 4 3" xfId="528" xr:uid="{00000000-0005-0000-0000-00000F020000}"/>
    <cellStyle name="40% - Accent2 5 4 3 2" xfId="529" xr:uid="{00000000-0005-0000-0000-000010020000}"/>
    <cellStyle name="40% - Accent2 6" xfId="530" xr:uid="{00000000-0005-0000-0000-000011020000}"/>
    <cellStyle name="40% - Accent2 6 2" xfId="531" xr:uid="{00000000-0005-0000-0000-000012020000}"/>
    <cellStyle name="40% - Accent2 6 3" xfId="532" xr:uid="{00000000-0005-0000-0000-000013020000}"/>
    <cellStyle name="40% - Accent2 6 4" xfId="533" xr:uid="{00000000-0005-0000-0000-000014020000}"/>
    <cellStyle name="40% - Accent2 7" xfId="534" xr:uid="{00000000-0005-0000-0000-000015020000}"/>
    <cellStyle name="40% - Accent2 7 2" xfId="535" xr:uid="{00000000-0005-0000-0000-000016020000}"/>
    <cellStyle name="40% - Accent2 7 3" xfId="536" xr:uid="{00000000-0005-0000-0000-000017020000}"/>
    <cellStyle name="40% - Accent2 8" xfId="537" xr:uid="{00000000-0005-0000-0000-000018020000}"/>
    <cellStyle name="40% - Accent2 8 2" xfId="538" xr:uid="{00000000-0005-0000-0000-000019020000}"/>
    <cellStyle name="40% - Accent2 9" xfId="539" xr:uid="{00000000-0005-0000-0000-00001A020000}"/>
    <cellStyle name="40% - Accent2 9 2" xfId="540" xr:uid="{00000000-0005-0000-0000-00001B020000}"/>
    <cellStyle name="40% - Accent2 9 3" xfId="541" xr:uid="{00000000-0005-0000-0000-00001C020000}"/>
    <cellStyle name="40% - Accent2 9 3 2" xfId="542" xr:uid="{00000000-0005-0000-0000-00001D020000}"/>
    <cellStyle name="40% - Accent2 9 4" xfId="543" xr:uid="{00000000-0005-0000-0000-00001E020000}"/>
    <cellStyle name="40% - Accent2 9 4 2" xfId="544" xr:uid="{00000000-0005-0000-0000-00001F020000}"/>
    <cellStyle name="40% - Accent3" xfId="545" builtinId="39" customBuiltin="1"/>
    <cellStyle name="40% - Accent3 10" xfId="546" xr:uid="{00000000-0005-0000-0000-000021020000}"/>
    <cellStyle name="40% - Accent3 11" xfId="547" xr:uid="{00000000-0005-0000-0000-000022020000}"/>
    <cellStyle name="40% - Accent3 12" xfId="548" xr:uid="{00000000-0005-0000-0000-000023020000}"/>
    <cellStyle name="40% - Accent3 13" xfId="549" xr:uid="{00000000-0005-0000-0000-000024020000}"/>
    <cellStyle name="40% - Accent3 14" xfId="550" xr:uid="{00000000-0005-0000-0000-000025020000}"/>
    <cellStyle name="40% - Accent3 15" xfId="551" xr:uid="{00000000-0005-0000-0000-000026020000}"/>
    <cellStyle name="40% - Accent3 2" xfId="552" xr:uid="{00000000-0005-0000-0000-000027020000}"/>
    <cellStyle name="40% - Accent3 2 2" xfId="553" xr:uid="{00000000-0005-0000-0000-000028020000}"/>
    <cellStyle name="40% - Accent3 2 2 2" xfId="554" xr:uid="{00000000-0005-0000-0000-000029020000}"/>
    <cellStyle name="40% - Accent3 2 3" xfId="555" xr:uid="{00000000-0005-0000-0000-00002A020000}"/>
    <cellStyle name="40% - Accent3 2 3 2" xfId="556" xr:uid="{00000000-0005-0000-0000-00002B020000}"/>
    <cellStyle name="40% - Accent3 2 3 2 2" xfId="557" xr:uid="{00000000-0005-0000-0000-00002C020000}"/>
    <cellStyle name="40% - Accent3 2 3 3" xfId="558" xr:uid="{00000000-0005-0000-0000-00002D020000}"/>
    <cellStyle name="40% - Accent3 2 3 4" xfId="559" xr:uid="{00000000-0005-0000-0000-00002E020000}"/>
    <cellStyle name="40% - Accent3 2 3 5" xfId="560" xr:uid="{00000000-0005-0000-0000-00002F020000}"/>
    <cellStyle name="40% - Accent3 2 3 6" xfId="561" xr:uid="{00000000-0005-0000-0000-000030020000}"/>
    <cellStyle name="40% - Accent3 2 4" xfId="562" xr:uid="{00000000-0005-0000-0000-000031020000}"/>
    <cellStyle name="40% - Accent3 2 4 2" xfId="563" xr:uid="{00000000-0005-0000-0000-000032020000}"/>
    <cellStyle name="40% - Accent3 2 4 3" xfId="564" xr:uid="{00000000-0005-0000-0000-000033020000}"/>
    <cellStyle name="40% - Accent3 2 4 4" xfId="565" xr:uid="{00000000-0005-0000-0000-000034020000}"/>
    <cellStyle name="40% - Accent3 2 4 5" xfId="566" xr:uid="{00000000-0005-0000-0000-000035020000}"/>
    <cellStyle name="40% - Accent3 2 5" xfId="567" xr:uid="{00000000-0005-0000-0000-000036020000}"/>
    <cellStyle name="40% - Accent3 2 5 2" xfId="568" xr:uid="{00000000-0005-0000-0000-000037020000}"/>
    <cellStyle name="40% - Accent3 2 5 3" xfId="569" xr:uid="{00000000-0005-0000-0000-000038020000}"/>
    <cellStyle name="40% - Accent3 2 6" xfId="570" xr:uid="{00000000-0005-0000-0000-000039020000}"/>
    <cellStyle name="40% - Accent3 3" xfId="571" xr:uid="{00000000-0005-0000-0000-00003A020000}"/>
    <cellStyle name="40% - Accent3 3 2" xfId="572" xr:uid="{00000000-0005-0000-0000-00003B020000}"/>
    <cellStyle name="40% - Accent3 3 3" xfId="573" xr:uid="{00000000-0005-0000-0000-00003C020000}"/>
    <cellStyle name="40% - Accent3 3 4" xfId="574" xr:uid="{00000000-0005-0000-0000-00003D020000}"/>
    <cellStyle name="40% - Accent3 3 5" xfId="575" xr:uid="{00000000-0005-0000-0000-00003E020000}"/>
    <cellStyle name="40% - Accent3 4" xfId="576" xr:uid="{00000000-0005-0000-0000-00003F020000}"/>
    <cellStyle name="40% - Accent3 4 2" xfId="577" xr:uid="{00000000-0005-0000-0000-000040020000}"/>
    <cellStyle name="40% - Accent3 4 2 2" xfId="578" xr:uid="{00000000-0005-0000-0000-000041020000}"/>
    <cellStyle name="40% - Accent3 4 2 3" xfId="579" xr:uid="{00000000-0005-0000-0000-000042020000}"/>
    <cellStyle name="40% - Accent3 4 2 4" xfId="580" xr:uid="{00000000-0005-0000-0000-000043020000}"/>
    <cellStyle name="40% - Accent3 4 3" xfId="581" xr:uid="{00000000-0005-0000-0000-000044020000}"/>
    <cellStyle name="40% - Accent3 4 3 2" xfId="582" xr:uid="{00000000-0005-0000-0000-000045020000}"/>
    <cellStyle name="40% - Accent3 4 3 3" xfId="583" xr:uid="{00000000-0005-0000-0000-000046020000}"/>
    <cellStyle name="40% - Accent3 4 3 4" xfId="584" xr:uid="{00000000-0005-0000-0000-000047020000}"/>
    <cellStyle name="40% - Accent3 4 4" xfId="585" xr:uid="{00000000-0005-0000-0000-000048020000}"/>
    <cellStyle name="40% - Accent3 5" xfId="586" xr:uid="{00000000-0005-0000-0000-000049020000}"/>
    <cellStyle name="40% - Accent3 5 2" xfId="587" xr:uid="{00000000-0005-0000-0000-00004A020000}"/>
    <cellStyle name="40% - Accent3 5 2 2" xfId="588" xr:uid="{00000000-0005-0000-0000-00004B020000}"/>
    <cellStyle name="40% - Accent3 5 2 3" xfId="589" xr:uid="{00000000-0005-0000-0000-00004C020000}"/>
    <cellStyle name="40% - Accent3 5 3" xfId="590" xr:uid="{00000000-0005-0000-0000-00004D020000}"/>
    <cellStyle name="40% - Accent3 5 3 2" xfId="591" xr:uid="{00000000-0005-0000-0000-00004E020000}"/>
    <cellStyle name="40% - Accent3 5 3 3" xfId="592" xr:uid="{00000000-0005-0000-0000-00004F020000}"/>
    <cellStyle name="40% - Accent3 5 4" xfId="593" xr:uid="{00000000-0005-0000-0000-000050020000}"/>
    <cellStyle name="40% - Accent3 5 4 2" xfId="594" xr:uid="{00000000-0005-0000-0000-000051020000}"/>
    <cellStyle name="40% - Accent3 5 4 2 2" xfId="595" xr:uid="{00000000-0005-0000-0000-000052020000}"/>
    <cellStyle name="40% - Accent3 5 4 3" xfId="596" xr:uid="{00000000-0005-0000-0000-000053020000}"/>
    <cellStyle name="40% - Accent3 5 4 3 2" xfId="597" xr:uid="{00000000-0005-0000-0000-000054020000}"/>
    <cellStyle name="40% - Accent3 6" xfId="598" xr:uid="{00000000-0005-0000-0000-000055020000}"/>
    <cellStyle name="40% - Accent3 6 2" xfId="599" xr:uid="{00000000-0005-0000-0000-000056020000}"/>
    <cellStyle name="40% - Accent3 6 3" xfId="600" xr:uid="{00000000-0005-0000-0000-000057020000}"/>
    <cellStyle name="40% - Accent3 6 4" xfId="601" xr:uid="{00000000-0005-0000-0000-000058020000}"/>
    <cellStyle name="40% - Accent3 7" xfId="602" xr:uid="{00000000-0005-0000-0000-000059020000}"/>
    <cellStyle name="40% - Accent3 7 2" xfId="603" xr:uid="{00000000-0005-0000-0000-00005A020000}"/>
    <cellStyle name="40% - Accent3 7 3" xfId="604" xr:uid="{00000000-0005-0000-0000-00005B020000}"/>
    <cellStyle name="40% - Accent3 8" xfId="605" xr:uid="{00000000-0005-0000-0000-00005C020000}"/>
    <cellStyle name="40% - Accent3 8 2" xfId="606" xr:uid="{00000000-0005-0000-0000-00005D020000}"/>
    <cellStyle name="40% - Accent3 9" xfId="607" xr:uid="{00000000-0005-0000-0000-00005E020000}"/>
    <cellStyle name="40% - Accent3 9 2" xfId="608" xr:uid="{00000000-0005-0000-0000-00005F020000}"/>
    <cellStyle name="40% - Accent3 9 3" xfId="609" xr:uid="{00000000-0005-0000-0000-000060020000}"/>
    <cellStyle name="40% - Accent3 9 3 2" xfId="610" xr:uid="{00000000-0005-0000-0000-000061020000}"/>
    <cellStyle name="40% - Accent3 9 4" xfId="611" xr:uid="{00000000-0005-0000-0000-000062020000}"/>
    <cellStyle name="40% - Accent3 9 4 2" xfId="612" xr:uid="{00000000-0005-0000-0000-000063020000}"/>
    <cellStyle name="40% - Accent4" xfId="613" builtinId="43" customBuiltin="1"/>
    <cellStyle name="40% - Accent4 10" xfId="614" xr:uid="{00000000-0005-0000-0000-000065020000}"/>
    <cellStyle name="40% - Accent4 11" xfId="615" xr:uid="{00000000-0005-0000-0000-000066020000}"/>
    <cellStyle name="40% - Accent4 12" xfId="616" xr:uid="{00000000-0005-0000-0000-000067020000}"/>
    <cellStyle name="40% - Accent4 13" xfId="617" xr:uid="{00000000-0005-0000-0000-000068020000}"/>
    <cellStyle name="40% - Accent4 14" xfId="618" xr:uid="{00000000-0005-0000-0000-000069020000}"/>
    <cellStyle name="40% - Accent4 15" xfId="619" xr:uid="{00000000-0005-0000-0000-00006A020000}"/>
    <cellStyle name="40% - Accent4 2" xfId="620" xr:uid="{00000000-0005-0000-0000-00006B020000}"/>
    <cellStyle name="40% - Accent4 2 2" xfId="621" xr:uid="{00000000-0005-0000-0000-00006C020000}"/>
    <cellStyle name="40% - Accent4 2 2 2" xfId="622" xr:uid="{00000000-0005-0000-0000-00006D020000}"/>
    <cellStyle name="40% - Accent4 2 3" xfId="623" xr:uid="{00000000-0005-0000-0000-00006E020000}"/>
    <cellStyle name="40% - Accent4 2 3 2" xfId="624" xr:uid="{00000000-0005-0000-0000-00006F020000}"/>
    <cellStyle name="40% - Accent4 2 3 2 2" xfId="625" xr:uid="{00000000-0005-0000-0000-000070020000}"/>
    <cellStyle name="40% - Accent4 2 3 3" xfId="626" xr:uid="{00000000-0005-0000-0000-000071020000}"/>
    <cellStyle name="40% - Accent4 2 3 4" xfId="627" xr:uid="{00000000-0005-0000-0000-000072020000}"/>
    <cellStyle name="40% - Accent4 2 3 5" xfId="628" xr:uid="{00000000-0005-0000-0000-000073020000}"/>
    <cellStyle name="40% - Accent4 2 3 6" xfId="629" xr:uid="{00000000-0005-0000-0000-000074020000}"/>
    <cellStyle name="40% - Accent4 2 4" xfId="630" xr:uid="{00000000-0005-0000-0000-000075020000}"/>
    <cellStyle name="40% - Accent4 2 4 2" xfId="631" xr:uid="{00000000-0005-0000-0000-000076020000}"/>
    <cellStyle name="40% - Accent4 2 4 3" xfId="632" xr:uid="{00000000-0005-0000-0000-000077020000}"/>
    <cellStyle name="40% - Accent4 2 4 4" xfId="633" xr:uid="{00000000-0005-0000-0000-000078020000}"/>
    <cellStyle name="40% - Accent4 2 4 5" xfId="634" xr:uid="{00000000-0005-0000-0000-000079020000}"/>
    <cellStyle name="40% - Accent4 2 5" xfId="635" xr:uid="{00000000-0005-0000-0000-00007A020000}"/>
    <cellStyle name="40% - Accent4 2 5 2" xfId="636" xr:uid="{00000000-0005-0000-0000-00007B020000}"/>
    <cellStyle name="40% - Accent4 2 5 3" xfId="637" xr:uid="{00000000-0005-0000-0000-00007C020000}"/>
    <cellStyle name="40% - Accent4 2 6" xfId="638" xr:uid="{00000000-0005-0000-0000-00007D020000}"/>
    <cellStyle name="40% - Accent4 3" xfId="639" xr:uid="{00000000-0005-0000-0000-00007E020000}"/>
    <cellStyle name="40% - Accent4 3 2" xfId="640" xr:uid="{00000000-0005-0000-0000-00007F020000}"/>
    <cellStyle name="40% - Accent4 3 3" xfId="641" xr:uid="{00000000-0005-0000-0000-000080020000}"/>
    <cellStyle name="40% - Accent4 3 4" xfId="642" xr:uid="{00000000-0005-0000-0000-000081020000}"/>
    <cellStyle name="40% - Accent4 3 5" xfId="643" xr:uid="{00000000-0005-0000-0000-000082020000}"/>
    <cellStyle name="40% - Accent4 4" xfId="644" xr:uid="{00000000-0005-0000-0000-000083020000}"/>
    <cellStyle name="40% - Accent4 4 2" xfId="645" xr:uid="{00000000-0005-0000-0000-000084020000}"/>
    <cellStyle name="40% - Accent4 4 2 2" xfId="646" xr:uid="{00000000-0005-0000-0000-000085020000}"/>
    <cellStyle name="40% - Accent4 4 2 3" xfId="647" xr:uid="{00000000-0005-0000-0000-000086020000}"/>
    <cellStyle name="40% - Accent4 4 2 4" xfId="648" xr:uid="{00000000-0005-0000-0000-000087020000}"/>
    <cellStyle name="40% - Accent4 4 3" xfId="649" xr:uid="{00000000-0005-0000-0000-000088020000}"/>
    <cellStyle name="40% - Accent4 4 3 2" xfId="650" xr:uid="{00000000-0005-0000-0000-000089020000}"/>
    <cellStyle name="40% - Accent4 4 3 3" xfId="651" xr:uid="{00000000-0005-0000-0000-00008A020000}"/>
    <cellStyle name="40% - Accent4 4 3 4" xfId="652" xr:uid="{00000000-0005-0000-0000-00008B020000}"/>
    <cellStyle name="40% - Accent4 4 4" xfId="653" xr:uid="{00000000-0005-0000-0000-00008C020000}"/>
    <cellStyle name="40% - Accent4 5" xfId="654" xr:uid="{00000000-0005-0000-0000-00008D020000}"/>
    <cellStyle name="40% - Accent4 5 2" xfId="655" xr:uid="{00000000-0005-0000-0000-00008E020000}"/>
    <cellStyle name="40% - Accent4 5 2 2" xfId="656" xr:uid="{00000000-0005-0000-0000-00008F020000}"/>
    <cellStyle name="40% - Accent4 5 2 3" xfId="657" xr:uid="{00000000-0005-0000-0000-000090020000}"/>
    <cellStyle name="40% - Accent4 5 3" xfId="658" xr:uid="{00000000-0005-0000-0000-000091020000}"/>
    <cellStyle name="40% - Accent4 5 3 2" xfId="659" xr:uid="{00000000-0005-0000-0000-000092020000}"/>
    <cellStyle name="40% - Accent4 5 3 3" xfId="660" xr:uid="{00000000-0005-0000-0000-000093020000}"/>
    <cellStyle name="40% - Accent4 5 4" xfId="661" xr:uid="{00000000-0005-0000-0000-000094020000}"/>
    <cellStyle name="40% - Accent4 5 4 2" xfId="662" xr:uid="{00000000-0005-0000-0000-000095020000}"/>
    <cellStyle name="40% - Accent4 5 4 2 2" xfId="663" xr:uid="{00000000-0005-0000-0000-000096020000}"/>
    <cellStyle name="40% - Accent4 5 4 3" xfId="664" xr:uid="{00000000-0005-0000-0000-000097020000}"/>
    <cellStyle name="40% - Accent4 5 4 3 2" xfId="665" xr:uid="{00000000-0005-0000-0000-000098020000}"/>
    <cellStyle name="40% - Accent4 6" xfId="666" xr:uid="{00000000-0005-0000-0000-000099020000}"/>
    <cellStyle name="40% - Accent4 6 2" xfId="667" xr:uid="{00000000-0005-0000-0000-00009A020000}"/>
    <cellStyle name="40% - Accent4 6 3" xfId="668" xr:uid="{00000000-0005-0000-0000-00009B020000}"/>
    <cellStyle name="40% - Accent4 6 4" xfId="669" xr:uid="{00000000-0005-0000-0000-00009C020000}"/>
    <cellStyle name="40% - Accent4 7" xfId="670" xr:uid="{00000000-0005-0000-0000-00009D020000}"/>
    <cellStyle name="40% - Accent4 7 2" xfId="671" xr:uid="{00000000-0005-0000-0000-00009E020000}"/>
    <cellStyle name="40% - Accent4 7 3" xfId="672" xr:uid="{00000000-0005-0000-0000-00009F020000}"/>
    <cellStyle name="40% - Accent4 8" xfId="673" xr:uid="{00000000-0005-0000-0000-0000A0020000}"/>
    <cellStyle name="40% - Accent4 8 2" xfId="674" xr:uid="{00000000-0005-0000-0000-0000A1020000}"/>
    <cellStyle name="40% - Accent4 9" xfId="675" xr:uid="{00000000-0005-0000-0000-0000A2020000}"/>
    <cellStyle name="40% - Accent4 9 2" xfId="676" xr:uid="{00000000-0005-0000-0000-0000A3020000}"/>
    <cellStyle name="40% - Accent4 9 3" xfId="677" xr:uid="{00000000-0005-0000-0000-0000A4020000}"/>
    <cellStyle name="40% - Accent4 9 3 2" xfId="678" xr:uid="{00000000-0005-0000-0000-0000A5020000}"/>
    <cellStyle name="40% - Accent4 9 4" xfId="679" xr:uid="{00000000-0005-0000-0000-0000A6020000}"/>
    <cellStyle name="40% - Accent4 9 4 2" xfId="680" xr:uid="{00000000-0005-0000-0000-0000A7020000}"/>
    <cellStyle name="40% - Accent5" xfId="681" builtinId="47" customBuiltin="1"/>
    <cellStyle name="40% - Accent5 10" xfId="682" xr:uid="{00000000-0005-0000-0000-0000A9020000}"/>
    <cellStyle name="40% - Accent5 11" xfId="683" xr:uid="{00000000-0005-0000-0000-0000AA020000}"/>
    <cellStyle name="40% - Accent5 12" xfId="684" xr:uid="{00000000-0005-0000-0000-0000AB020000}"/>
    <cellStyle name="40% - Accent5 13" xfId="685" xr:uid="{00000000-0005-0000-0000-0000AC020000}"/>
    <cellStyle name="40% - Accent5 14" xfId="686" xr:uid="{00000000-0005-0000-0000-0000AD020000}"/>
    <cellStyle name="40% - Accent5 15" xfId="687" xr:uid="{00000000-0005-0000-0000-0000AE020000}"/>
    <cellStyle name="40% - Accent5 2" xfId="688" xr:uid="{00000000-0005-0000-0000-0000AF020000}"/>
    <cellStyle name="40% - Accent5 2 2" xfId="689" xr:uid="{00000000-0005-0000-0000-0000B0020000}"/>
    <cellStyle name="40% - Accent5 2 2 2" xfId="690" xr:uid="{00000000-0005-0000-0000-0000B1020000}"/>
    <cellStyle name="40% - Accent5 2 3" xfId="691" xr:uid="{00000000-0005-0000-0000-0000B2020000}"/>
    <cellStyle name="40% - Accent5 2 3 2" xfId="692" xr:uid="{00000000-0005-0000-0000-0000B3020000}"/>
    <cellStyle name="40% - Accent5 2 3 2 2" xfId="693" xr:uid="{00000000-0005-0000-0000-0000B4020000}"/>
    <cellStyle name="40% - Accent5 2 3 3" xfId="694" xr:uid="{00000000-0005-0000-0000-0000B5020000}"/>
    <cellStyle name="40% - Accent5 2 3 4" xfId="695" xr:uid="{00000000-0005-0000-0000-0000B6020000}"/>
    <cellStyle name="40% - Accent5 2 3 5" xfId="696" xr:uid="{00000000-0005-0000-0000-0000B7020000}"/>
    <cellStyle name="40% - Accent5 2 3 6" xfId="697" xr:uid="{00000000-0005-0000-0000-0000B8020000}"/>
    <cellStyle name="40% - Accent5 2 4" xfId="698" xr:uid="{00000000-0005-0000-0000-0000B9020000}"/>
    <cellStyle name="40% - Accent5 2 4 2" xfId="699" xr:uid="{00000000-0005-0000-0000-0000BA020000}"/>
    <cellStyle name="40% - Accent5 2 4 3" xfId="700" xr:uid="{00000000-0005-0000-0000-0000BB020000}"/>
    <cellStyle name="40% - Accent5 2 4 4" xfId="701" xr:uid="{00000000-0005-0000-0000-0000BC020000}"/>
    <cellStyle name="40% - Accent5 2 4 5" xfId="702" xr:uid="{00000000-0005-0000-0000-0000BD020000}"/>
    <cellStyle name="40% - Accent5 2 5" xfId="703" xr:uid="{00000000-0005-0000-0000-0000BE020000}"/>
    <cellStyle name="40% - Accent5 2 5 2" xfId="704" xr:uid="{00000000-0005-0000-0000-0000BF020000}"/>
    <cellStyle name="40% - Accent5 2 5 3" xfId="705" xr:uid="{00000000-0005-0000-0000-0000C0020000}"/>
    <cellStyle name="40% - Accent5 2 6" xfId="706" xr:uid="{00000000-0005-0000-0000-0000C1020000}"/>
    <cellStyle name="40% - Accent5 3" xfId="707" xr:uid="{00000000-0005-0000-0000-0000C2020000}"/>
    <cellStyle name="40% - Accent5 3 2" xfId="708" xr:uid="{00000000-0005-0000-0000-0000C3020000}"/>
    <cellStyle name="40% - Accent5 3 3" xfId="709" xr:uid="{00000000-0005-0000-0000-0000C4020000}"/>
    <cellStyle name="40% - Accent5 3 4" xfId="710" xr:uid="{00000000-0005-0000-0000-0000C5020000}"/>
    <cellStyle name="40% - Accent5 3 5" xfId="711" xr:uid="{00000000-0005-0000-0000-0000C6020000}"/>
    <cellStyle name="40% - Accent5 4" xfId="712" xr:uid="{00000000-0005-0000-0000-0000C7020000}"/>
    <cellStyle name="40% - Accent5 4 2" xfId="713" xr:uid="{00000000-0005-0000-0000-0000C8020000}"/>
    <cellStyle name="40% - Accent5 4 2 2" xfId="714" xr:uid="{00000000-0005-0000-0000-0000C9020000}"/>
    <cellStyle name="40% - Accent5 4 2 3" xfId="715" xr:uid="{00000000-0005-0000-0000-0000CA020000}"/>
    <cellStyle name="40% - Accent5 4 2 4" xfId="716" xr:uid="{00000000-0005-0000-0000-0000CB020000}"/>
    <cellStyle name="40% - Accent5 4 3" xfId="717" xr:uid="{00000000-0005-0000-0000-0000CC020000}"/>
    <cellStyle name="40% - Accent5 4 3 2" xfId="718" xr:uid="{00000000-0005-0000-0000-0000CD020000}"/>
    <cellStyle name="40% - Accent5 4 3 3" xfId="719" xr:uid="{00000000-0005-0000-0000-0000CE020000}"/>
    <cellStyle name="40% - Accent5 4 3 4" xfId="720" xr:uid="{00000000-0005-0000-0000-0000CF020000}"/>
    <cellStyle name="40% - Accent5 4 4" xfId="721" xr:uid="{00000000-0005-0000-0000-0000D0020000}"/>
    <cellStyle name="40% - Accent5 5" xfId="722" xr:uid="{00000000-0005-0000-0000-0000D1020000}"/>
    <cellStyle name="40% - Accent5 5 2" xfId="723" xr:uid="{00000000-0005-0000-0000-0000D2020000}"/>
    <cellStyle name="40% - Accent5 5 2 2" xfId="724" xr:uid="{00000000-0005-0000-0000-0000D3020000}"/>
    <cellStyle name="40% - Accent5 5 2 3" xfId="725" xr:uid="{00000000-0005-0000-0000-0000D4020000}"/>
    <cellStyle name="40% - Accent5 5 3" xfId="726" xr:uid="{00000000-0005-0000-0000-0000D5020000}"/>
    <cellStyle name="40% - Accent5 5 3 2" xfId="727" xr:uid="{00000000-0005-0000-0000-0000D6020000}"/>
    <cellStyle name="40% - Accent5 5 3 3" xfId="728" xr:uid="{00000000-0005-0000-0000-0000D7020000}"/>
    <cellStyle name="40% - Accent5 5 4" xfId="729" xr:uid="{00000000-0005-0000-0000-0000D8020000}"/>
    <cellStyle name="40% - Accent5 5 4 2" xfId="730" xr:uid="{00000000-0005-0000-0000-0000D9020000}"/>
    <cellStyle name="40% - Accent5 5 4 2 2" xfId="731" xr:uid="{00000000-0005-0000-0000-0000DA020000}"/>
    <cellStyle name="40% - Accent5 5 4 3" xfId="732" xr:uid="{00000000-0005-0000-0000-0000DB020000}"/>
    <cellStyle name="40% - Accent5 5 4 3 2" xfId="733" xr:uid="{00000000-0005-0000-0000-0000DC020000}"/>
    <cellStyle name="40% - Accent5 6" xfId="734" xr:uid="{00000000-0005-0000-0000-0000DD020000}"/>
    <cellStyle name="40% - Accent5 6 2" xfId="735" xr:uid="{00000000-0005-0000-0000-0000DE020000}"/>
    <cellStyle name="40% - Accent5 6 3" xfId="736" xr:uid="{00000000-0005-0000-0000-0000DF020000}"/>
    <cellStyle name="40% - Accent5 6 4" xfId="737" xr:uid="{00000000-0005-0000-0000-0000E0020000}"/>
    <cellStyle name="40% - Accent5 7" xfId="738" xr:uid="{00000000-0005-0000-0000-0000E1020000}"/>
    <cellStyle name="40% - Accent5 7 2" xfId="739" xr:uid="{00000000-0005-0000-0000-0000E2020000}"/>
    <cellStyle name="40% - Accent5 7 3" xfId="740" xr:uid="{00000000-0005-0000-0000-0000E3020000}"/>
    <cellStyle name="40% - Accent5 8" xfId="741" xr:uid="{00000000-0005-0000-0000-0000E4020000}"/>
    <cellStyle name="40% - Accent5 8 2" xfId="742" xr:uid="{00000000-0005-0000-0000-0000E5020000}"/>
    <cellStyle name="40% - Accent5 9" xfId="743" xr:uid="{00000000-0005-0000-0000-0000E6020000}"/>
    <cellStyle name="40% - Accent5 9 2" xfId="744" xr:uid="{00000000-0005-0000-0000-0000E7020000}"/>
    <cellStyle name="40% - Accent5 9 3" xfId="745" xr:uid="{00000000-0005-0000-0000-0000E8020000}"/>
    <cellStyle name="40% - Accent5 9 3 2" xfId="746" xr:uid="{00000000-0005-0000-0000-0000E9020000}"/>
    <cellStyle name="40% - Accent5 9 4" xfId="747" xr:uid="{00000000-0005-0000-0000-0000EA020000}"/>
    <cellStyle name="40% - Accent5 9 4 2" xfId="748" xr:uid="{00000000-0005-0000-0000-0000EB020000}"/>
    <cellStyle name="40% - Accent6" xfId="749" builtinId="51" customBuiltin="1"/>
    <cellStyle name="40% - Accent6 10" xfId="750" xr:uid="{00000000-0005-0000-0000-0000ED020000}"/>
    <cellStyle name="40% - Accent6 11" xfId="751" xr:uid="{00000000-0005-0000-0000-0000EE020000}"/>
    <cellStyle name="40% - Accent6 12" xfId="752" xr:uid="{00000000-0005-0000-0000-0000EF020000}"/>
    <cellStyle name="40% - Accent6 13" xfId="753" xr:uid="{00000000-0005-0000-0000-0000F0020000}"/>
    <cellStyle name="40% - Accent6 14" xfId="754" xr:uid="{00000000-0005-0000-0000-0000F1020000}"/>
    <cellStyle name="40% - Accent6 15" xfId="755" xr:uid="{00000000-0005-0000-0000-0000F2020000}"/>
    <cellStyle name="40% - Accent6 2" xfId="756" xr:uid="{00000000-0005-0000-0000-0000F3020000}"/>
    <cellStyle name="40% - Accent6 2 2" xfId="757" xr:uid="{00000000-0005-0000-0000-0000F4020000}"/>
    <cellStyle name="40% - Accent6 2 2 2" xfId="758" xr:uid="{00000000-0005-0000-0000-0000F5020000}"/>
    <cellStyle name="40% - Accent6 2 3" xfId="759" xr:uid="{00000000-0005-0000-0000-0000F6020000}"/>
    <cellStyle name="40% - Accent6 2 3 2" xfId="760" xr:uid="{00000000-0005-0000-0000-0000F7020000}"/>
    <cellStyle name="40% - Accent6 2 3 2 2" xfId="761" xr:uid="{00000000-0005-0000-0000-0000F8020000}"/>
    <cellStyle name="40% - Accent6 2 3 3" xfId="762" xr:uid="{00000000-0005-0000-0000-0000F9020000}"/>
    <cellStyle name="40% - Accent6 2 3 4" xfId="763" xr:uid="{00000000-0005-0000-0000-0000FA020000}"/>
    <cellStyle name="40% - Accent6 2 3 5" xfId="764" xr:uid="{00000000-0005-0000-0000-0000FB020000}"/>
    <cellStyle name="40% - Accent6 2 3 6" xfId="765" xr:uid="{00000000-0005-0000-0000-0000FC020000}"/>
    <cellStyle name="40% - Accent6 2 4" xfId="766" xr:uid="{00000000-0005-0000-0000-0000FD020000}"/>
    <cellStyle name="40% - Accent6 2 4 2" xfId="767" xr:uid="{00000000-0005-0000-0000-0000FE020000}"/>
    <cellStyle name="40% - Accent6 2 4 3" xfId="768" xr:uid="{00000000-0005-0000-0000-0000FF020000}"/>
    <cellStyle name="40% - Accent6 2 4 4" xfId="769" xr:uid="{00000000-0005-0000-0000-000000030000}"/>
    <cellStyle name="40% - Accent6 2 4 5" xfId="770" xr:uid="{00000000-0005-0000-0000-000001030000}"/>
    <cellStyle name="40% - Accent6 2 5" xfId="771" xr:uid="{00000000-0005-0000-0000-000002030000}"/>
    <cellStyle name="40% - Accent6 2 5 2" xfId="772" xr:uid="{00000000-0005-0000-0000-000003030000}"/>
    <cellStyle name="40% - Accent6 2 5 3" xfId="773" xr:uid="{00000000-0005-0000-0000-000004030000}"/>
    <cellStyle name="40% - Accent6 2 6" xfId="774" xr:uid="{00000000-0005-0000-0000-000005030000}"/>
    <cellStyle name="40% - Accent6 3" xfId="775" xr:uid="{00000000-0005-0000-0000-000006030000}"/>
    <cellStyle name="40% - Accent6 3 2" xfId="776" xr:uid="{00000000-0005-0000-0000-000007030000}"/>
    <cellStyle name="40% - Accent6 3 3" xfId="777" xr:uid="{00000000-0005-0000-0000-000008030000}"/>
    <cellStyle name="40% - Accent6 3 4" xfId="778" xr:uid="{00000000-0005-0000-0000-000009030000}"/>
    <cellStyle name="40% - Accent6 3 5" xfId="779" xr:uid="{00000000-0005-0000-0000-00000A030000}"/>
    <cellStyle name="40% - Accent6 4" xfId="780" xr:uid="{00000000-0005-0000-0000-00000B030000}"/>
    <cellStyle name="40% - Accent6 4 2" xfId="781" xr:uid="{00000000-0005-0000-0000-00000C030000}"/>
    <cellStyle name="40% - Accent6 4 2 2" xfId="782" xr:uid="{00000000-0005-0000-0000-00000D030000}"/>
    <cellStyle name="40% - Accent6 4 2 3" xfId="783" xr:uid="{00000000-0005-0000-0000-00000E030000}"/>
    <cellStyle name="40% - Accent6 4 2 4" xfId="784" xr:uid="{00000000-0005-0000-0000-00000F030000}"/>
    <cellStyle name="40% - Accent6 4 3" xfId="785" xr:uid="{00000000-0005-0000-0000-000010030000}"/>
    <cellStyle name="40% - Accent6 4 3 2" xfId="786" xr:uid="{00000000-0005-0000-0000-000011030000}"/>
    <cellStyle name="40% - Accent6 4 3 3" xfId="787" xr:uid="{00000000-0005-0000-0000-000012030000}"/>
    <cellStyle name="40% - Accent6 4 3 4" xfId="788" xr:uid="{00000000-0005-0000-0000-000013030000}"/>
    <cellStyle name="40% - Accent6 4 4" xfId="789" xr:uid="{00000000-0005-0000-0000-000014030000}"/>
    <cellStyle name="40% - Accent6 5" xfId="790" xr:uid="{00000000-0005-0000-0000-000015030000}"/>
    <cellStyle name="40% - Accent6 5 2" xfId="791" xr:uid="{00000000-0005-0000-0000-000016030000}"/>
    <cellStyle name="40% - Accent6 5 2 2" xfId="792" xr:uid="{00000000-0005-0000-0000-000017030000}"/>
    <cellStyle name="40% - Accent6 5 2 3" xfId="793" xr:uid="{00000000-0005-0000-0000-000018030000}"/>
    <cellStyle name="40% - Accent6 5 3" xfId="794" xr:uid="{00000000-0005-0000-0000-000019030000}"/>
    <cellStyle name="40% - Accent6 5 3 2" xfId="795" xr:uid="{00000000-0005-0000-0000-00001A030000}"/>
    <cellStyle name="40% - Accent6 5 3 3" xfId="796" xr:uid="{00000000-0005-0000-0000-00001B030000}"/>
    <cellStyle name="40% - Accent6 5 4" xfId="797" xr:uid="{00000000-0005-0000-0000-00001C030000}"/>
    <cellStyle name="40% - Accent6 5 4 2" xfId="798" xr:uid="{00000000-0005-0000-0000-00001D030000}"/>
    <cellStyle name="40% - Accent6 5 4 2 2" xfId="799" xr:uid="{00000000-0005-0000-0000-00001E030000}"/>
    <cellStyle name="40% - Accent6 5 4 3" xfId="800" xr:uid="{00000000-0005-0000-0000-00001F030000}"/>
    <cellStyle name="40% - Accent6 5 4 3 2" xfId="801" xr:uid="{00000000-0005-0000-0000-000020030000}"/>
    <cellStyle name="40% - Accent6 6" xfId="802" xr:uid="{00000000-0005-0000-0000-000021030000}"/>
    <cellStyle name="40% - Accent6 6 2" xfId="803" xr:uid="{00000000-0005-0000-0000-000022030000}"/>
    <cellStyle name="40% - Accent6 6 3" xfId="804" xr:uid="{00000000-0005-0000-0000-000023030000}"/>
    <cellStyle name="40% - Accent6 6 4" xfId="805" xr:uid="{00000000-0005-0000-0000-000024030000}"/>
    <cellStyle name="40% - Accent6 7" xfId="806" xr:uid="{00000000-0005-0000-0000-000025030000}"/>
    <cellStyle name="40% - Accent6 7 2" xfId="807" xr:uid="{00000000-0005-0000-0000-000026030000}"/>
    <cellStyle name="40% - Accent6 7 3" xfId="808" xr:uid="{00000000-0005-0000-0000-000027030000}"/>
    <cellStyle name="40% - Accent6 8" xfId="809" xr:uid="{00000000-0005-0000-0000-000028030000}"/>
    <cellStyle name="40% - Accent6 8 2" xfId="810" xr:uid="{00000000-0005-0000-0000-000029030000}"/>
    <cellStyle name="40% - Accent6 9" xfId="811" xr:uid="{00000000-0005-0000-0000-00002A030000}"/>
    <cellStyle name="40% - Accent6 9 2" xfId="812" xr:uid="{00000000-0005-0000-0000-00002B030000}"/>
    <cellStyle name="40% - Accent6 9 3" xfId="813" xr:uid="{00000000-0005-0000-0000-00002C030000}"/>
    <cellStyle name="40% - Accent6 9 3 2" xfId="814" xr:uid="{00000000-0005-0000-0000-00002D030000}"/>
    <cellStyle name="40% - Accent6 9 4" xfId="815" xr:uid="{00000000-0005-0000-0000-00002E030000}"/>
    <cellStyle name="40% - Accent6 9 4 2" xfId="816" xr:uid="{00000000-0005-0000-0000-00002F030000}"/>
    <cellStyle name="60% - Accent1" xfId="817" builtinId="32" customBuiltin="1"/>
    <cellStyle name="60% - Accent1 10" xfId="818" xr:uid="{00000000-0005-0000-0000-000031030000}"/>
    <cellStyle name="60% - Accent1 10 2" xfId="819" xr:uid="{00000000-0005-0000-0000-000032030000}"/>
    <cellStyle name="60% - Accent1 10 3" xfId="820" xr:uid="{00000000-0005-0000-0000-000033030000}"/>
    <cellStyle name="60% - Accent1 11" xfId="821" xr:uid="{00000000-0005-0000-0000-000034030000}"/>
    <cellStyle name="60% - Accent1 12" xfId="822" xr:uid="{00000000-0005-0000-0000-000035030000}"/>
    <cellStyle name="60% - Accent1 13" xfId="823" xr:uid="{00000000-0005-0000-0000-000036030000}"/>
    <cellStyle name="60% - Accent1 14" xfId="824" xr:uid="{00000000-0005-0000-0000-000037030000}"/>
    <cellStyle name="60% - Accent1 2" xfId="825" xr:uid="{00000000-0005-0000-0000-000038030000}"/>
    <cellStyle name="60% - Accent1 2 2" xfId="826" xr:uid="{00000000-0005-0000-0000-000039030000}"/>
    <cellStyle name="60% - Accent1 2 2 2" xfId="827" xr:uid="{00000000-0005-0000-0000-00003A030000}"/>
    <cellStyle name="60% - Accent1 2 2 3" xfId="828" xr:uid="{00000000-0005-0000-0000-00003B030000}"/>
    <cellStyle name="60% - Accent1 2 2 4" xfId="829" xr:uid="{00000000-0005-0000-0000-00003C030000}"/>
    <cellStyle name="60% - Accent1 2 2 5" xfId="830" xr:uid="{00000000-0005-0000-0000-00003D030000}"/>
    <cellStyle name="60% - Accent1 2 3" xfId="831" xr:uid="{00000000-0005-0000-0000-00003E030000}"/>
    <cellStyle name="60% - Accent1 2 3 2" xfId="832" xr:uid="{00000000-0005-0000-0000-00003F030000}"/>
    <cellStyle name="60% - Accent1 2 3 3" xfId="833" xr:uid="{00000000-0005-0000-0000-000040030000}"/>
    <cellStyle name="60% - Accent1 2 4" xfId="834" xr:uid="{00000000-0005-0000-0000-000041030000}"/>
    <cellStyle name="60% - Accent1 2 5" xfId="835" xr:uid="{00000000-0005-0000-0000-000042030000}"/>
    <cellStyle name="60% - Accent1 3" xfId="836" xr:uid="{00000000-0005-0000-0000-000043030000}"/>
    <cellStyle name="60% - Accent1 3 2" xfId="837" xr:uid="{00000000-0005-0000-0000-000044030000}"/>
    <cellStyle name="60% - Accent1 3 3" xfId="838" xr:uid="{00000000-0005-0000-0000-000045030000}"/>
    <cellStyle name="60% - Accent1 3 4" xfId="839" xr:uid="{00000000-0005-0000-0000-000046030000}"/>
    <cellStyle name="60% - Accent1 4" xfId="840" xr:uid="{00000000-0005-0000-0000-000047030000}"/>
    <cellStyle name="60% - Accent1 4 2" xfId="841" xr:uid="{00000000-0005-0000-0000-000048030000}"/>
    <cellStyle name="60% - Accent1 4 3" xfId="842" xr:uid="{00000000-0005-0000-0000-000049030000}"/>
    <cellStyle name="60% - Accent1 4 4" xfId="843" xr:uid="{00000000-0005-0000-0000-00004A030000}"/>
    <cellStyle name="60% - Accent1 5" xfId="844" xr:uid="{00000000-0005-0000-0000-00004B030000}"/>
    <cellStyle name="60% - Accent1 5 2" xfId="845" xr:uid="{00000000-0005-0000-0000-00004C030000}"/>
    <cellStyle name="60% - Accent1 5 2 2" xfId="846" xr:uid="{00000000-0005-0000-0000-00004D030000}"/>
    <cellStyle name="60% - Accent1 5 2 3" xfId="847" xr:uid="{00000000-0005-0000-0000-00004E030000}"/>
    <cellStyle name="60% - Accent1 5 2 4" xfId="848" xr:uid="{00000000-0005-0000-0000-00004F030000}"/>
    <cellStyle name="60% - Accent1 5 3" xfId="849" xr:uid="{00000000-0005-0000-0000-000050030000}"/>
    <cellStyle name="60% - Accent1 5 3 2" xfId="850" xr:uid="{00000000-0005-0000-0000-000051030000}"/>
    <cellStyle name="60% - Accent1 5 3 3" xfId="851" xr:uid="{00000000-0005-0000-0000-000052030000}"/>
    <cellStyle name="60% - Accent1 5 4" xfId="852" xr:uid="{00000000-0005-0000-0000-000053030000}"/>
    <cellStyle name="60% - Accent1 5 4 2" xfId="853" xr:uid="{00000000-0005-0000-0000-000054030000}"/>
    <cellStyle name="60% - Accent1 5 4 2 2" xfId="854" xr:uid="{00000000-0005-0000-0000-000055030000}"/>
    <cellStyle name="60% - Accent1 5 4 3" xfId="855" xr:uid="{00000000-0005-0000-0000-000056030000}"/>
    <cellStyle name="60% - Accent1 5 4 3 2" xfId="856" xr:uid="{00000000-0005-0000-0000-000057030000}"/>
    <cellStyle name="60% - Accent1 6" xfId="857" xr:uid="{00000000-0005-0000-0000-000058030000}"/>
    <cellStyle name="60% - Accent1 6 2" xfId="858" xr:uid="{00000000-0005-0000-0000-000059030000}"/>
    <cellStyle name="60% - Accent1 6 3" xfId="859" xr:uid="{00000000-0005-0000-0000-00005A030000}"/>
    <cellStyle name="60% - Accent1 7" xfId="860" xr:uid="{00000000-0005-0000-0000-00005B030000}"/>
    <cellStyle name="60% - Accent1 7 2" xfId="861" xr:uid="{00000000-0005-0000-0000-00005C030000}"/>
    <cellStyle name="60% - Accent1 8" xfId="862" xr:uid="{00000000-0005-0000-0000-00005D030000}"/>
    <cellStyle name="60% - Accent1 9" xfId="863" xr:uid="{00000000-0005-0000-0000-00005E030000}"/>
    <cellStyle name="60% - Accent1 9 2" xfId="864" xr:uid="{00000000-0005-0000-0000-00005F030000}"/>
    <cellStyle name="60% - Accent1 9 2 2" xfId="865" xr:uid="{00000000-0005-0000-0000-000060030000}"/>
    <cellStyle name="60% - Accent1 9 3" xfId="866" xr:uid="{00000000-0005-0000-0000-000061030000}"/>
    <cellStyle name="60% - Accent1 9 3 2" xfId="867" xr:uid="{00000000-0005-0000-0000-000062030000}"/>
    <cellStyle name="60% - Accent2" xfId="868" builtinId="36" customBuiltin="1"/>
    <cellStyle name="60% - Accent2 10" xfId="869" xr:uid="{00000000-0005-0000-0000-000064030000}"/>
    <cellStyle name="60% - Accent2 10 2" xfId="870" xr:uid="{00000000-0005-0000-0000-000065030000}"/>
    <cellStyle name="60% - Accent2 10 3" xfId="871" xr:uid="{00000000-0005-0000-0000-000066030000}"/>
    <cellStyle name="60% - Accent2 11" xfId="872" xr:uid="{00000000-0005-0000-0000-000067030000}"/>
    <cellStyle name="60% - Accent2 12" xfId="873" xr:uid="{00000000-0005-0000-0000-000068030000}"/>
    <cellStyle name="60% - Accent2 13" xfId="874" xr:uid="{00000000-0005-0000-0000-000069030000}"/>
    <cellStyle name="60% - Accent2 14" xfId="875" xr:uid="{00000000-0005-0000-0000-00006A030000}"/>
    <cellStyle name="60% - Accent2 2" xfId="876" xr:uid="{00000000-0005-0000-0000-00006B030000}"/>
    <cellStyle name="60% - Accent2 2 2" xfId="877" xr:uid="{00000000-0005-0000-0000-00006C030000}"/>
    <cellStyle name="60% - Accent2 2 2 2" xfId="878" xr:uid="{00000000-0005-0000-0000-00006D030000}"/>
    <cellStyle name="60% - Accent2 2 2 3" xfId="879" xr:uid="{00000000-0005-0000-0000-00006E030000}"/>
    <cellStyle name="60% - Accent2 2 2 4" xfId="880" xr:uid="{00000000-0005-0000-0000-00006F030000}"/>
    <cellStyle name="60% - Accent2 2 2 5" xfId="881" xr:uid="{00000000-0005-0000-0000-000070030000}"/>
    <cellStyle name="60% - Accent2 2 3" xfId="882" xr:uid="{00000000-0005-0000-0000-000071030000}"/>
    <cellStyle name="60% - Accent2 2 3 2" xfId="883" xr:uid="{00000000-0005-0000-0000-000072030000}"/>
    <cellStyle name="60% - Accent2 2 3 3" xfId="884" xr:uid="{00000000-0005-0000-0000-000073030000}"/>
    <cellStyle name="60% - Accent2 2 4" xfId="885" xr:uid="{00000000-0005-0000-0000-000074030000}"/>
    <cellStyle name="60% - Accent2 2 5" xfId="886" xr:uid="{00000000-0005-0000-0000-000075030000}"/>
    <cellStyle name="60% - Accent2 3" xfId="887" xr:uid="{00000000-0005-0000-0000-000076030000}"/>
    <cellStyle name="60% - Accent2 3 2" xfId="888" xr:uid="{00000000-0005-0000-0000-000077030000}"/>
    <cellStyle name="60% - Accent2 3 3" xfId="889" xr:uid="{00000000-0005-0000-0000-000078030000}"/>
    <cellStyle name="60% - Accent2 3 4" xfId="890" xr:uid="{00000000-0005-0000-0000-000079030000}"/>
    <cellStyle name="60% - Accent2 4" xfId="891" xr:uid="{00000000-0005-0000-0000-00007A030000}"/>
    <cellStyle name="60% - Accent2 4 2" xfId="892" xr:uid="{00000000-0005-0000-0000-00007B030000}"/>
    <cellStyle name="60% - Accent2 4 3" xfId="893" xr:uid="{00000000-0005-0000-0000-00007C030000}"/>
    <cellStyle name="60% - Accent2 4 4" xfId="894" xr:uid="{00000000-0005-0000-0000-00007D030000}"/>
    <cellStyle name="60% - Accent2 5" xfId="895" xr:uid="{00000000-0005-0000-0000-00007E030000}"/>
    <cellStyle name="60% - Accent2 5 2" xfId="896" xr:uid="{00000000-0005-0000-0000-00007F030000}"/>
    <cellStyle name="60% - Accent2 5 2 2" xfId="897" xr:uid="{00000000-0005-0000-0000-000080030000}"/>
    <cellStyle name="60% - Accent2 5 2 3" xfId="898" xr:uid="{00000000-0005-0000-0000-000081030000}"/>
    <cellStyle name="60% - Accent2 5 2 4" xfId="899" xr:uid="{00000000-0005-0000-0000-000082030000}"/>
    <cellStyle name="60% - Accent2 5 3" xfId="900" xr:uid="{00000000-0005-0000-0000-000083030000}"/>
    <cellStyle name="60% - Accent2 5 3 2" xfId="901" xr:uid="{00000000-0005-0000-0000-000084030000}"/>
    <cellStyle name="60% - Accent2 5 3 3" xfId="902" xr:uid="{00000000-0005-0000-0000-000085030000}"/>
    <cellStyle name="60% - Accent2 5 4" xfId="903" xr:uid="{00000000-0005-0000-0000-000086030000}"/>
    <cellStyle name="60% - Accent2 5 4 2" xfId="904" xr:uid="{00000000-0005-0000-0000-000087030000}"/>
    <cellStyle name="60% - Accent2 5 4 2 2" xfId="905" xr:uid="{00000000-0005-0000-0000-000088030000}"/>
    <cellStyle name="60% - Accent2 5 4 3" xfId="906" xr:uid="{00000000-0005-0000-0000-000089030000}"/>
    <cellStyle name="60% - Accent2 5 4 3 2" xfId="907" xr:uid="{00000000-0005-0000-0000-00008A030000}"/>
    <cellStyle name="60% - Accent2 6" xfId="908" xr:uid="{00000000-0005-0000-0000-00008B030000}"/>
    <cellStyle name="60% - Accent2 6 2" xfId="909" xr:uid="{00000000-0005-0000-0000-00008C030000}"/>
    <cellStyle name="60% - Accent2 6 3" xfId="910" xr:uid="{00000000-0005-0000-0000-00008D030000}"/>
    <cellStyle name="60% - Accent2 7" xfId="911" xr:uid="{00000000-0005-0000-0000-00008E030000}"/>
    <cellStyle name="60% - Accent2 7 2" xfId="912" xr:uid="{00000000-0005-0000-0000-00008F030000}"/>
    <cellStyle name="60% - Accent2 8" xfId="913" xr:uid="{00000000-0005-0000-0000-000090030000}"/>
    <cellStyle name="60% - Accent2 9" xfId="914" xr:uid="{00000000-0005-0000-0000-000091030000}"/>
    <cellStyle name="60% - Accent2 9 2" xfId="915" xr:uid="{00000000-0005-0000-0000-000092030000}"/>
    <cellStyle name="60% - Accent2 9 2 2" xfId="916" xr:uid="{00000000-0005-0000-0000-000093030000}"/>
    <cellStyle name="60% - Accent2 9 3" xfId="917" xr:uid="{00000000-0005-0000-0000-000094030000}"/>
    <cellStyle name="60% - Accent2 9 3 2" xfId="918" xr:uid="{00000000-0005-0000-0000-000095030000}"/>
    <cellStyle name="60% - Accent3" xfId="919" builtinId="40" customBuiltin="1"/>
    <cellStyle name="60% - Accent3 10" xfId="920" xr:uid="{00000000-0005-0000-0000-000097030000}"/>
    <cellStyle name="60% - Accent3 10 2" xfId="921" xr:uid="{00000000-0005-0000-0000-000098030000}"/>
    <cellStyle name="60% - Accent3 10 3" xfId="922" xr:uid="{00000000-0005-0000-0000-000099030000}"/>
    <cellStyle name="60% - Accent3 11" xfId="923" xr:uid="{00000000-0005-0000-0000-00009A030000}"/>
    <cellStyle name="60% - Accent3 12" xfId="924" xr:uid="{00000000-0005-0000-0000-00009B030000}"/>
    <cellStyle name="60% - Accent3 13" xfId="925" xr:uid="{00000000-0005-0000-0000-00009C030000}"/>
    <cellStyle name="60% - Accent3 14" xfId="926" xr:uid="{00000000-0005-0000-0000-00009D030000}"/>
    <cellStyle name="60% - Accent3 2" xfId="927" xr:uid="{00000000-0005-0000-0000-00009E030000}"/>
    <cellStyle name="60% - Accent3 2 2" xfId="928" xr:uid="{00000000-0005-0000-0000-00009F030000}"/>
    <cellStyle name="60% - Accent3 2 2 2" xfId="929" xr:uid="{00000000-0005-0000-0000-0000A0030000}"/>
    <cellStyle name="60% - Accent3 2 2 3" xfId="930" xr:uid="{00000000-0005-0000-0000-0000A1030000}"/>
    <cellStyle name="60% - Accent3 2 2 4" xfId="931" xr:uid="{00000000-0005-0000-0000-0000A2030000}"/>
    <cellStyle name="60% - Accent3 2 2 5" xfId="932" xr:uid="{00000000-0005-0000-0000-0000A3030000}"/>
    <cellStyle name="60% - Accent3 2 3" xfId="933" xr:uid="{00000000-0005-0000-0000-0000A4030000}"/>
    <cellStyle name="60% - Accent3 2 3 2" xfId="934" xr:uid="{00000000-0005-0000-0000-0000A5030000}"/>
    <cellStyle name="60% - Accent3 2 3 3" xfId="935" xr:uid="{00000000-0005-0000-0000-0000A6030000}"/>
    <cellStyle name="60% - Accent3 2 4" xfId="936" xr:uid="{00000000-0005-0000-0000-0000A7030000}"/>
    <cellStyle name="60% - Accent3 2 5" xfId="937" xr:uid="{00000000-0005-0000-0000-0000A8030000}"/>
    <cellStyle name="60% - Accent3 3" xfId="938" xr:uid="{00000000-0005-0000-0000-0000A9030000}"/>
    <cellStyle name="60% - Accent3 3 2" xfId="939" xr:uid="{00000000-0005-0000-0000-0000AA030000}"/>
    <cellStyle name="60% - Accent3 3 3" xfId="940" xr:uid="{00000000-0005-0000-0000-0000AB030000}"/>
    <cellStyle name="60% - Accent3 3 4" xfId="941" xr:uid="{00000000-0005-0000-0000-0000AC030000}"/>
    <cellStyle name="60% - Accent3 4" xfId="942" xr:uid="{00000000-0005-0000-0000-0000AD030000}"/>
    <cellStyle name="60% - Accent3 4 2" xfId="943" xr:uid="{00000000-0005-0000-0000-0000AE030000}"/>
    <cellStyle name="60% - Accent3 4 3" xfId="944" xr:uid="{00000000-0005-0000-0000-0000AF030000}"/>
    <cellStyle name="60% - Accent3 4 4" xfId="945" xr:uid="{00000000-0005-0000-0000-0000B0030000}"/>
    <cellStyle name="60% - Accent3 5" xfId="946" xr:uid="{00000000-0005-0000-0000-0000B1030000}"/>
    <cellStyle name="60% - Accent3 5 2" xfId="947" xr:uid="{00000000-0005-0000-0000-0000B2030000}"/>
    <cellStyle name="60% - Accent3 5 2 2" xfId="948" xr:uid="{00000000-0005-0000-0000-0000B3030000}"/>
    <cellStyle name="60% - Accent3 5 2 3" xfId="949" xr:uid="{00000000-0005-0000-0000-0000B4030000}"/>
    <cellStyle name="60% - Accent3 5 2 4" xfId="950" xr:uid="{00000000-0005-0000-0000-0000B5030000}"/>
    <cellStyle name="60% - Accent3 5 3" xfId="951" xr:uid="{00000000-0005-0000-0000-0000B6030000}"/>
    <cellStyle name="60% - Accent3 5 3 2" xfId="952" xr:uid="{00000000-0005-0000-0000-0000B7030000}"/>
    <cellStyle name="60% - Accent3 5 3 3" xfId="953" xr:uid="{00000000-0005-0000-0000-0000B8030000}"/>
    <cellStyle name="60% - Accent3 5 4" xfId="954" xr:uid="{00000000-0005-0000-0000-0000B9030000}"/>
    <cellStyle name="60% - Accent3 5 4 2" xfId="955" xr:uid="{00000000-0005-0000-0000-0000BA030000}"/>
    <cellStyle name="60% - Accent3 5 4 2 2" xfId="956" xr:uid="{00000000-0005-0000-0000-0000BB030000}"/>
    <cellStyle name="60% - Accent3 5 4 3" xfId="957" xr:uid="{00000000-0005-0000-0000-0000BC030000}"/>
    <cellStyle name="60% - Accent3 5 4 3 2" xfId="958" xr:uid="{00000000-0005-0000-0000-0000BD030000}"/>
    <cellStyle name="60% - Accent3 6" xfId="959" xr:uid="{00000000-0005-0000-0000-0000BE030000}"/>
    <cellStyle name="60% - Accent3 6 2" xfId="960" xr:uid="{00000000-0005-0000-0000-0000BF030000}"/>
    <cellStyle name="60% - Accent3 6 3" xfId="961" xr:uid="{00000000-0005-0000-0000-0000C0030000}"/>
    <cellStyle name="60% - Accent3 7" xfId="962" xr:uid="{00000000-0005-0000-0000-0000C1030000}"/>
    <cellStyle name="60% - Accent3 7 2" xfId="963" xr:uid="{00000000-0005-0000-0000-0000C2030000}"/>
    <cellStyle name="60% - Accent3 8" xfId="964" xr:uid="{00000000-0005-0000-0000-0000C3030000}"/>
    <cellStyle name="60% - Accent3 9" xfId="965" xr:uid="{00000000-0005-0000-0000-0000C4030000}"/>
    <cellStyle name="60% - Accent3 9 2" xfId="966" xr:uid="{00000000-0005-0000-0000-0000C5030000}"/>
    <cellStyle name="60% - Accent3 9 2 2" xfId="967" xr:uid="{00000000-0005-0000-0000-0000C6030000}"/>
    <cellStyle name="60% - Accent3 9 3" xfId="968" xr:uid="{00000000-0005-0000-0000-0000C7030000}"/>
    <cellStyle name="60% - Accent3 9 3 2" xfId="969" xr:uid="{00000000-0005-0000-0000-0000C8030000}"/>
    <cellStyle name="60% - Accent4" xfId="970" builtinId="44" customBuiltin="1"/>
    <cellStyle name="60% - Accent4 10" xfId="971" xr:uid="{00000000-0005-0000-0000-0000CA030000}"/>
    <cellStyle name="60% - Accent4 10 2" xfId="972" xr:uid="{00000000-0005-0000-0000-0000CB030000}"/>
    <cellStyle name="60% - Accent4 10 3" xfId="973" xr:uid="{00000000-0005-0000-0000-0000CC030000}"/>
    <cellStyle name="60% - Accent4 11" xfId="974" xr:uid="{00000000-0005-0000-0000-0000CD030000}"/>
    <cellStyle name="60% - Accent4 12" xfId="975" xr:uid="{00000000-0005-0000-0000-0000CE030000}"/>
    <cellStyle name="60% - Accent4 13" xfId="976" xr:uid="{00000000-0005-0000-0000-0000CF030000}"/>
    <cellStyle name="60% - Accent4 14" xfId="977" xr:uid="{00000000-0005-0000-0000-0000D0030000}"/>
    <cellStyle name="60% - Accent4 2" xfId="978" xr:uid="{00000000-0005-0000-0000-0000D1030000}"/>
    <cellStyle name="60% - Accent4 2 2" xfId="979" xr:uid="{00000000-0005-0000-0000-0000D2030000}"/>
    <cellStyle name="60% - Accent4 2 2 2" xfId="980" xr:uid="{00000000-0005-0000-0000-0000D3030000}"/>
    <cellStyle name="60% - Accent4 2 2 3" xfId="981" xr:uid="{00000000-0005-0000-0000-0000D4030000}"/>
    <cellStyle name="60% - Accent4 2 2 4" xfId="982" xr:uid="{00000000-0005-0000-0000-0000D5030000}"/>
    <cellStyle name="60% - Accent4 2 2 5" xfId="983" xr:uid="{00000000-0005-0000-0000-0000D6030000}"/>
    <cellStyle name="60% - Accent4 2 3" xfId="984" xr:uid="{00000000-0005-0000-0000-0000D7030000}"/>
    <cellStyle name="60% - Accent4 2 3 2" xfId="985" xr:uid="{00000000-0005-0000-0000-0000D8030000}"/>
    <cellStyle name="60% - Accent4 2 3 3" xfId="986" xr:uid="{00000000-0005-0000-0000-0000D9030000}"/>
    <cellStyle name="60% - Accent4 2 4" xfId="987" xr:uid="{00000000-0005-0000-0000-0000DA030000}"/>
    <cellStyle name="60% - Accent4 2 5" xfId="988" xr:uid="{00000000-0005-0000-0000-0000DB030000}"/>
    <cellStyle name="60% - Accent4 3" xfId="989" xr:uid="{00000000-0005-0000-0000-0000DC030000}"/>
    <cellStyle name="60% - Accent4 3 2" xfId="990" xr:uid="{00000000-0005-0000-0000-0000DD030000}"/>
    <cellStyle name="60% - Accent4 3 3" xfId="991" xr:uid="{00000000-0005-0000-0000-0000DE030000}"/>
    <cellStyle name="60% - Accent4 3 4" xfId="992" xr:uid="{00000000-0005-0000-0000-0000DF030000}"/>
    <cellStyle name="60% - Accent4 4" xfId="993" xr:uid="{00000000-0005-0000-0000-0000E0030000}"/>
    <cellStyle name="60% - Accent4 4 2" xfId="994" xr:uid="{00000000-0005-0000-0000-0000E1030000}"/>
    <cellStyle name="60% - Accent4 4 3" xfId="995" xr:uid="{00000000-0005-0000-0000-0000E2030000}"/>
    <cellStyle name="60% - Accent4 4 4" xfId="996" xr:uid="{00000000-0005-0000-0000-0000E3030000}"/>
    <cellStyle name="60% - Accent4 5" xfId="997" xr:uid="{00000000-0005-0000-0000-0000E4030000}"/>
    <cellStyle name="60% - Accent4 5 2" xfId="998" xr:uid="{00000000-0005-0000-0000-0000E5030000}"/>
    <cellStyle name="60% - Accent4 5 2 2" xfId="999" xr:uid="{00000000-0005-0000-0000-0000E6030000}"/>
    <cellStyle name="60% - Accent4 5 2 3" xfId="1000" xr:uid="{00000000-0005-0000-0000-0000E7030000}"/>
    <cellStyle name="60% - Accent4 5 2 4" xfId="1001" xr:uid="{00000000-0005-0000-0000-0000E8030000}"/>
    <cellStyle name="60% - Accent4 5 3" xfId="1002" xr:uid="{00000000-0005-0000-0000-0000E9030000}"/>
    <cellStyle name="60% - Accent4 5 3 2" xfId="1003" xr:uid="{00000000-0005-0000-0000-0000EA030000}"/>
    <cellStyle name="60% - Accent4 5 3 3" xfId="1004" xr:uid="{00000000-0005-0000-0000-0000EB030000}"/>
    <cellStyle name="60% - Accent4 5 4" xfId="1005" xr:uid="{00000000-0005-0000-0000-0000EC030000}"/>
    <cellStyle name="60% - Accent4 5 4 2" xfId="1006" xr:uid="{00000000-0005-0000-0000-0000ED030000}"/>
    <cellStyle name="60% - Accent4 5 4 2 2" xfId="1007" xr:uid="{00000000-0005-0000-0000-0000EE030000}"/>
    <cellStyle name="60% - Accent4 5 4 3" xfId="1008" xr:uid="{00000000-0005-0000-0000-0000EF030000}"/>
    <cellStyle name="60% - Accent4 5 4 3 2" xfId="1009" xr:uid="{00000000-0005-0000-0000-0000F0030000}"/>
    <cellStyle name="60% - Accent4 6" xfId="1010" xr:uid="{00000000-0005-0000-0000-0000F1030000}"/>
    <cellStyle name="60% - Accent4 6 2" xfId="1011" xr:uid="{00000000-0005-0000-0000-0000F2030000}"/>
    <cellStyle name="60% - Accent4 6 3" xfId="1012" xr:uid="{00000000-0005-0000-0000-0000F3030000}"/>
    <cellStyle name="60% - Accent4 7" xfId="1013" xr:uid="{00000000-0005-0000-0000-0000F4030000}"/>
    <cellStyle name="60% - Accent4 7 2" xfId="1014" xr:uid="{00000000-0005-0000-0000-0000F5030000}"/>
    <cellStyle name="60% - Accent4 8" xfId="1015" xr:uid="{00000000-0005-0000-0000-0000F6030000}"/>
    <cellStyle name="60% - Accent4 9" xfId="1016" xr:uid="{00000000-0005-0000-0000-0000F7030000}"/>
    <cellStyle name="60% - Accent4 9 2" xfId="1017" xr:uid="{00000000-0005-0000-0000-0000F8030000}"/>
    <cellStyle name="60% - Accent4 9 2 2" xfId="1018" xr:uid="{00000000-0005-0000-0000-0000F9030000}"/>
    <cellStyle name="60% - Accent4 9 3" xfId="1019" xr:uid="{00000000-0005-0000-0000-0000FA030000}"/>
    <cellStyle name="60% - Accent4 9 3 2" xfId="1020" xr:uid="{00000000-0005-0000-0000-0000FB030000}"/>
    <cellStyle name="60% - Accent5" xfId="1021" builtinId="48" customBuiltin="1"/>
    <cellStyle name="60% - Accent5 10" xfId="1022" xr:uid="{00000000-0005-0000-0000-0000FD030000}"/>
    <cellStyle name="60% - Accent5 10 2" xfId="1023" xr:uid="{00000000-0005-0000-0000-0000FE030000}"/>
    <cellStyle name="60% - Accent5 10 3" xfId="1024" xr:uid="{00000000-0005-0000-0000-0000FF030000}"/>
    <cellStyle name="60% - Accent5 11" xfId="1025" xr:uid="{00000000-0005-0000-0000-000000040000}"/>
    <cellStyle name="60% - Accent5 12" xfId="1026" xr:uid="{00000000-0005-0000-0000-000001040000}"/>
    <cellStyle name="60% - Accent5 13" xfId="1027" xr:uid="{00000000-0005-0000-0000-000002040000}"/>
    <cellStyle name="60% - Accent5 14" xfId="1028" xr:uid="{00000000-0005-0000-0000-000003040000}"/>
    <cellStyle name="60% - Accent5 2" xfId="1029" xr:uid="{00000000-0005-0000-0000-000004040000}"/>
    <cellStyle name="60% - Accent5 2 2" xfId="1030" xr:uid="{00000000-0005-0000-0000-000005040000}"/>
    <cellStyle name="60% - Accent5 2 2 2" xfId="1031" xr:uid="{00000000-0005-0000-0000-000006040000}"/>
    <cellStyle name="60% - Accent5 2 2 3" xfId="1032" xr:uid="{00000000-0005-0000-0000-000007040000}"/>
    <cellStyle name="60% - Accent5 2 2 4" xfId="1033" xr:uid="{00000000-0005-0000-0000-000008040000}"/>
    <cellStyle name="60% - Accent5 2 2 5" xfId="1034" xr:uid="{00000000-0005-0000-0000-000009040000}"/>
    <cellStyle name="60% - Accent5 2 3" xfId="1035" xr:uid="{00000000-0005-0000-0000-00000A040000}"/>
    <cellStyle name="60% - Accent5 2 3 2" xfId="1036" xr:uid="{00000000-0005-0000-0000-00000B040000}"/>
    <cellStyle name="60% - Accent5 2 3 3" xfId="1037" xr:uid="{00000000-0005-0000-0000-00000C040000}"/>
    <cellStyle name="60% - Accent5 2 4" xfId="1038" xr:uid="{00000000-0005-0000-0000-00000D040000}"/>
    <cellStyle name="60% - Accent5 2 5" xfId="1039" xr:uid="{00000000-0005-0000-0000-00000E040000}"/>
    <cellStyle name="60% - Accent5 3" xfId="1040" xr:uid="{00000000-0005-0000-0000-00000F040000}"/>
    <cellStyle name="60% - Accent5 3 2" xfId="1041" xr:uid="{00000000-0005-0000-0000-000010040000}"/>
    <cellStyle name="60% - Accent5 3 3" xfId="1042" xr:uid="{00000000-0005-0000-0000-000011040000}"/>
    <cellStyle name="60% - Accent5 3 4" xfId="1043" xr:uid="{00000000-0005-0000-0000-000012040000}"/>
    <cellStyle name="60% - Accent5 4" xfId="1044" xr:uid="{00000000-0005-0000-0000-000013040000}"/>
    <cellStyle name="60% - Accent5 4 2" xfId="1045" xr:uid="{00000000-0005-0000-0000-000014040000}"/>
    <cellStyle name="60% - Accent5 4 3" xfId="1046" xr:uid="{00000000-0005-0000-0000-000015040000}"/>
    <cellStyle name="60% - Accent5 4 4" xfId="1047" xr:uid="{00000000-0005-0000-0000-000016040000}"/>
    <cellStyle name="60% - Accent5 5" xfId="1048" xr:uid="{00000000-0005-0000-0000-000017040000}"/>
    <cellStyle name="60% - Accent5 5 2" xfId="1049" xr:uid="{00000000-0005-0000-0000-000018040000}"/>
    <cellStyle name="60% - Accent5 5 2 2" xfId="1050" xr:uid="{00000000-0005-0000-0000-000019040000}"/>
    <cellStyle name="60% - Accent5 5 2 3" xfId="1051" xr:uid="{00000000-0005-0000-0000-00001A040000}"/>
    <cellStyle name="60% - Accent5 5 2 4" xfId="1052" xr:uid="{00000000-0005-0000-0000-00001B040000}"/>
    <cellStyle name="60% - Accent5 5 3" xfId="1053" xr:uid="{00000000-0005-0000-0000-00001C040000}"/>
    <cellStyle name="60% - Accent5 5 3 2" xfId="1054" xr:uid="{00000000-0005-0000-0000-00001D040000}"/>
    <cellStyle name="60% - Accent5 5 3 3" xfId="1055" xr:uid="{00000000-0005-0000-0000-00001E040000}"/>
    <cellStyle name="60% - Accent5 5 4" xfId="1056" xr:uid="{00000000-0005-0000-0000-00001F040000}"/>
    <cellStyle name="60% - Accent5 5 4 2" xfId="1057" xr:uid="{00000000-0005-0000-0000-000020040000}"/>
    <cellStyle name="60% - Accent5 5 4 2 2" xfId="1058" xr:uid="{00000000-0005-0000-0000-000021040000}"/>
    <cellStyle name="60% - Accent5 5 4 3" xfId="1059" xr:uid="{00000000-0005-0000-0000-000022040000}"/>
    <cellStyle name="60% - Accent5 5 4 3 2" xfId="1060" xr:uid="{00000000-0005-0000-0000-000023040000}"/>
    <cellStyle name="60% - Accent5 6" xfId="1061" xr:uid="{00000000-0005-0000-0000-000024040000}"/>
    <cellStyle name="60% - Accent5 6 2" xfId="1062" xr:uid="{00000000-0005-0000-0000-000025040000}"/>
    <cellStyle name="60% - Accent5 6 3" xfId="1063" xr:uid="{00000000-0005-0000-0000-000026040000}"/>
    <cellStyle name="60% - Accent5 7" xfId="1064" xr:uid="{00000000-0005-0000-0000-000027040000}"/>
    <cellStyle name="60% - Accent5 7 2" xfId="1065" xr:uid="{00000000-0005-0000-0000-000028040000}"/>
    <cellStyle name="60% - Accent5 8" xfId="1066" xr:uid="{00000000-0005-0000-0000-000029040000}"/>
    <cellStyle name="60% - Accent5 9" xfId="1067" xr:uid="{00000000-0005-0000-0000-00002A040000}"/>
    <cellStyle name="60% - Accent5 9 2" xfId="1068" xr:uid="{00000000-0005-0000-0000-00002B040000}"/>
    <cellStyle name="60% - Accent5 9 2 2" xfId="1069" xr:uid="{00000000-0005-0000-0000-00002C040000}"/>
    <cellStyle name="60% - Accent5 9 3" xfId="1070" xr:uid="{00000000-0005-0000-0000-00002D040000}"/>
    <cellStyle name="60% - Accent5 9 3 2" xfId="1071" xr:uid="{00000000-0005-0000-0000-00002E040000}"/>
    <cellStyle name="60% - Accent6" xfId="1072" builtinId="52" customBuiltin="1"/>
    <cellStyle name="60% - Accent6 10" xfId="1073" xr:uid="{00000000-0005-0000-0000-000030040000}"/>
    <cellStyle name="60% - Accent6 10 2" xfId="1074" xr:uid="{00000000-0005-0000-0000-000031040000}"/>
    <cellStyle name="60% - Accent6 10 3" xfId="1075" xr:uid="{00000000-0005-0000-0000-000032040000}"/>
    <cellStyle name="60% - Accent6 11" xfId="1076" xr:uid="{00000000-0005-0000-0000-000033040000}"/>
    <cellStyle name="60% - Accent6 12" xfId="1077" xr:uid="{00000000-0005-0000-0000-000034040000}"/>
    <cellStyle name="60% - Accent6 13" xfId="1078" xr:uid="{00000000-0005-0000-0000-000035040000}"/>
    <cellStyle name="60% - Accent6 14" xfId="1079" xr:uid="{00000000-0005-0000-0000-000036040000}"/>
    <cellStyle name="60% - Accent6 2" xfId="1080" xr:uid="{00000000-0005-0000-0000-000037040000}"/>
    <cellStyle name="60% - Accent6 2 2" xfId="1081" xr:uid="{00000000-0005-0000-0000-000038040000}"/>
    <cellStyle name="60% - Accent6 2 2 2" xfId="1082" xr:uid="{00000000-0005-0000-0000-000039040000}"/>
    <cellStyle name="60% - Accent6 2 2 3" xfId="1083" xr:uid="{00000000-0005-0000-0000-00003A040000}"/>
    <cellStyle name="60% - Accent6 2 2 4" xfId="1084" xr:uid="{00000000-0005-0000-0000-00003B040000}"/>
    <cellStyle name="60% - Accent6 2 2 5" xfId="1085" xr:uid="{00000000-0005-0000-0000-00003C040000}"/>
    <cellStyle name="60% - Accent6 2 3" xfId="1086" xr:uid="{00000000-0005-0000-0000-00003D040000}"/>
    <cellStyle name="60% - Accent6 2 3 2" xfId="1087" xr:uid="{00000000-0005-0000-0000-00003E040000}"/>
    <cellStyle name="60% - Accent6 2 3 3" xfId="1088" xr:uid="{00000000-0005-0000-0000-00003F040000}"/>
    <cellStyle name="60% - Accent6 2 4" xfId="1089" xr:uid="{00000000-0005-0000-0000-000040040000}"/>
    <cellStyle name="60% - Accent6 2 5" xfId="1090" xr:uid="{00000000-0005-0000-0000-000041040000}"/>
    <cellStyle name="60% - Accent6 3" xfId="1091" xr:uid="{00000000-0005-0000-0000-000042040000}"/>
    <cellStyle name="60% - Accent6 3 2" xfId="1092" xr:uid="{00000000-0005-0000-0000-000043040000}"/>
    <cellStyle name="60% - Accent6 3 3" xfId="1093" xr:uid="{00000000-0005-0000-0000-000044040000}"/>
    <cellStyle name="60% - Accent6 3 4" xfId="1094" xr:uid="{00000000-0005-0000-0000-000045040000}"/>
    <cellStyle name="60% - Accent6 4" xfId="1095" xr:uid="{00000000-0005-0000-0000-000046040000}"/>
    <cellStyle name="60% - Accent6 4 2" xfId="1096" xr:uid="{00000000-0005-0000-0000-000047040000}"/>
    <cellStyle name="60% - Accent6 4 3" xfId="1097" xr:uid="{00000000-0005-0000-0000-000048040000}"/>
    <cellStyle name="60% - Accent6 4 4" xfId="1098" xr:uid="{00000000-0005-0000-0000-000049040000}"/>
    <cellStyle name="60% - Accent6 5" xfId="1099" xr:uid="{00000000-0005-0000-0000-00004A040000}"/>
    <cellStyle name="60% - Accent6 5 2" xfId="1100" xr:uid="{00000000-0005-0000-0000-00004B040000}"/>
    <cellStyle name="60% - Accent6 5 2 2" xfId="1101" xr:uid="{00000000-0005-0000-0000-00004C040000}"/>
    <cellStyle name="60% - Accent6 5 2 3" xfId="1102" xr:uid="{00000000-0005-0000-0000-00004D040000}"/>
    <cellStyle name="60% - Accent6 5 2 4" xfId="1103" xr:uid="{00000000-0005-0000-0000-00004E040000}"/>
    <cellStyle name="60% - Accent6 5 3" xfId="1104" xr:uid="{00000000-0005-0000-0000-00004F040000}"/>
    <cellStyle name="60% - Accent6 5 3 2" xfId="1105" xr:uid="{00000000-0005-0000-0000-000050040000}"/>
    <cellStyle name="60% - Accent6 5 3 3" xfId="1106" xr:uid="{00000000-0005-0000-0000-000051040000}"/>
    <cellStyle name="60% - Accent6 5 4" xfId="1107" xr:uid="{00000000-0005-0000-0000-000052040000}"/>
    <cellStyle name="60% - Accent6 5 4 2" xfId="1108" xr:uid="{00000000-0005-0000-0000-000053040000}"/>
    <cellStyle name="60% - Accent6 5 4 2 2" xfId="1109" xr:uid="{00000000-0005-0000-0000-000054040000}"/>
    <cellStyle name="60% - Accent6 5 4 3" xfId="1110" xr:uid="{00000000-0005-0000-0000-000055040000}"/>
    <cellStyle name="60% - Accent6 5 4 3 2" xfId="1111" xr:uid="{00000000-0005-0000-0000-000056040000}"/>
    <cellStyle name="60% - Accent6 6" xfId="1112" xr:uid="{00000000-0005-0000-0000-000057040000}"/>
    <cellStyle name="60% - Accent6 6 2" xfId="1113" xr:uid="{00000000-0005-0000-0000-000058040000}"/>
    <cellStyle name="60% - Accent6 6 3" xfId="1114" xr:uid="{00000000-0005-0000-0000-000059040000}"/>
    <cellStyle name="60% - Accent6 7" xfId="1115" xr:uid="{00000000-0005-0000-0000-00005A040000}"/>
    <cellStyle name="60% - Accent6 7 2" xfId="1116" xr:uid="{00000000-0005-0000-0000-00005B040000}"/>
    <cellStyle name="60% - Accent6 8" xfId="1117" xr:uid="{00000000-0005-0000-0000-00005C040000}"/>
    <cellStyle name="60% - Accent6 9" xfId="1118" xr:uid="{00000000-0005-0000-0000-00005D040000}"/>
    <cellStyle name="60% - Accent6 9 2" xfId="1119" xr:uid="{00000000-0005-0000-0000-00005E040000}"/>
    <cellStyle name="60% - Accent6 9 2 2" xfId="1120" xr:uid="{00000000-0005-0000-0000-00005F040000}"/>
    <cellStyle name="60% - Accent6 9 3" xfId="1121" xr:uid="{00000000-0005-0000-0000-000060040000}"/>
    <cellStyle name="60% - Accent6 9 3 2" xfId="1122" xr:uid="{00000000-0005-0000-0000-000061040000}"/>
    <cellStyle name="Accent1" xfId="1123" builtinId="29" customBuiltin="1"/>
    <cellStyle name="Accent1 10" xfId="1124" xr:uid="{00000000-0005-0000-0000-000063040000}"/>
    <cellStyle name="Accent1 10 2" xfId="1125" xr:uid="{00000000-0005-0000-0000-000064040000}"/>
    <cellStyle name="Accent1 10 3" xfId="1126" xr:uid="{00000000-0005-0000-0000-000065040000}"/>
    <cellStyle name="Accent1 11" xfId="1127" xr:uid="{00000000-0005-0000-0000-000066040000}"/>
    <cellStyle name="Accent1 12" xfId="1128" xr:uid="{00000000-0005-0000-0000-000067040000}"/>
    <cellStyle name="Accent1 13" xfId="1129" xr:uid="{00000000-0005-0000-0000-000068040000}"/>
    <cellStyle name="Accent1 14" xfId="1130" xr:uid="{00000000-0005-0000-0000-000069040000}"/>
    <cellStyle name="Accent1 2" xfId="1131" xr:uid="{00000000-0005-0000-0000-00006A040000}"/>
    <cellStyle name="Accent1 2 2" xfId="1132" xr:uid="{00000000-0005-0000-0000-00006B040000}"/>
    <cellStyle name="Accent1 2 2 2" xfId="1133" xr:uid="{00000000-0005-0000-0000-00006C040000}"/>
    <cellStyle name="Accent1 2 2 3" xfId="1134" xr:uid="{00000000-0005-0000-0000-00006D040000}"/>
    <cellStyle name="Accent1 2 2 4" xfId="1135" xr:uid="{00000000-0005-0000-0000-00006E040000}"/>
    <cellStyle name="Accent1 2 2 5" xfId="1136" xr:uid="{00000000-0005-0000-0000-00006F040000}"/>
    <cellStyle name="Accent1 2 3" xfId="1137" xr:uid="{00000000-0005-0000-0000-000070040000}"/>
    <cellStyle name="Accent1 2 3 2" xfId="1138" xr:uid="{00000000-0005-0000-0000-000071040000}"/>
    <cellStyle name="Accent1 2 3 3" xfId="1139" xr:uid="{00000000-0005-0000-0000-000072040000}"/>
    <cellStyle name="Accent1 2 4" xfId="1140" xr:uid="{00000000-0005-0000-0000-000073040000}"/>
    <cellStyle name="Accent1 2 5" xfId="1141" xr:uid="{00000000-0005-0000-0000-000074040000}"/>
    <cellStyle name="Accent1 3" xfId="1142" xr:uid="{00000000-0005-0000-0000-000075040000}"/>
    <cellStyle name="Accent1 3 2" xfId="1143" xr:uid="{00000000-0005-0000-0000-000076040000}"/>
    <cellStyle name="Accent1 3 3" xfId="1144" xr:uid="{00000000-0005-0000-0000-000077040000}"/>
    <cellStyle name="Accent1 3 4" xfId="1145" xr:uid="{00000000-0005-0000-0000-000078040000}"/>
    <cellStyle name="Accent1 4" xfId="1146" xr:uid="{00000000-0005-0000-0000-000079040000}"/>
    <cellStyle name="Accent1 4 2" xfId="1147" xr:uid="{00000000-0005-0000-0000-00007A040000}"/>
    <cellStyle name="Accent1 4 3" xfId="1148" xr:uid="{00000000-0005-0000-0000-00007B040000}"/>
    <cellStyle name="Accent1 4 4" xfId="1149" xr:uid="{00000000-0005-0000-0000-00007C040000}"/>
    <cellStyle name="Accent1 5" xfId="1150" xr:uid="{00000000-0005-0000-0000-00007D040000}"/>
    <cellStyle name="Accent1 5 2" xfId="1151" xr:uid="{00000000-0005-0000-0000-00007E040000}"/>
    <cellStyle name="Accent1 5 2 2" xfId="1152" xr:uid="{00000000-0005-0000-0000-00007F040000}"/>
    <cellStyle name="Accent1 5 2 3" xfId="1153" xr:uid="{00000000-0005-0000-0000-000080040000}"/>
    <cellStyle name="Accent1 5 2 4" xfId="1154" xr:uid="{00000000-0005-0000-0000-000081040000}"/>
    <cellStyle name="Accent1 5 3" xfId="1155" xr:uid="{00000000-0005-0000-0000-000082040000}"/>
    <cellStyle name="Accent1 5 3 2" xfId="1156" xr:uid="{00000000-0005-0000-0000-000083040000}"/>
    <cellStyle name="Accent1 5 3 3" xfId="1157" xr:uid="{00000000-0005-0000-0000-000084040000}"/>
    <cellStyle name="Accent1 5 4" xfId="1158" xr:uid="{00000000-0005-0000-0000-000085040000}"/>
    <cellStyle name="Accent1 5 4 2" xfId="1159" xr:uid="{00000000-0005-0000-0000-000086040000}"/>
    <cellStyle name="Accent1 5 4 2 2" xfId="1160" xr:uid="{00000000-0005-0000-0000-000087040000}"/>
    <cellStyle name="Accent1 5 4 3" xfId="1161" xr:uid="{00000000-0005-0000-0000-000088040000}"/>
    <cellStyle name="Accent1 5 4 3 2" xfId="1162" xr:uid="{00000000-0005-0000-0000-000089040000}"/>
    <cellStyle name="Accent1 6" xfId="1163" xr:uid="{00000000-0005-0000-0000-00008A040000}"/>
    <cellStyle name="Accent1 6 2" xfId="1164" xr:uid="{00000000-0005-0000-0000-00008B040000}"/>
    <cellStyle name="Accent1 6 3" xfId="1165" xr:uid="{00000000-0005-0000-0000-00008C040000}"/>
    <cellStyle name="Accent1 7" xfId="1166" xr:uid="{00000000-0005-0000-0000-00008D040000}"/>
    <cellStyle name="Accent1 7 2" xfId="1167" xr:uid="{00000000-0005-0000-0000-00008E040000}"/>
    <cellStyle name="Accent1 8" xfId="1168" xr:uid="{00000000-0005-0000-0000-00008F040000}"/>
    <cellStyle name="Accent1 9" xfId="1169" xr:uid="{00000000-0005-0000-0000-000090040000}"/>
    <cellStyle name="Accent1 9 2" xfId="1170" xr:uid="{00000000-0005-0000-0000-000091040000}"/>
    <cellStyle name="Accent1 9 2 2" xfId="1171" xr:uid="{00000000-0005-0000-0000-000092040000}"/>
    <cellStyle name="Accent1 9 3" xfId="1172" xr:uid="{00000000-0005-0000-0000-000093040000}"/>
    <cellStyle name="Accent1 9 3 2" xfId="1173" xr:uid="{00000000-0005-0000-0000-000094040000}"/>
    <cellStyle name="Accent2" xfId="1174" builtinId="33" customBuiltin="1"/>
    <cellStyle name="Accent2 10" xfId="1175" xr:uid="{00000000-0005-0000-0000-000096040000}"/>
    <cellStyle name="Accent2 10 2" xfId="1176" xr:uid="{00000000-0005-0000-0000-000097040000}"/>
    <cellStyle name="Accent2 10 3" xfId="1177" xr:uid="{00000000-0005-0000-0000-000098040000}"/>
    <cellStyle name="Accent2 11" xfId="1178" xr:uid="{00000000-0005-0000-0000-000099040000}"/>
    <cellStyle name="Accent2 12" xfId="1179" xr:uid="{00000000-0005-0000-0000-00009A040000}"/>
    <cellStyle name="Accent2 13" xfId="1180" xr:uid="{00000000-0005-0000-0000-00009B040000}"/>
    <cellStyle name="Accent2 14" xfId="1181" xr:uid="{00000000-0005-0000-0000-00009C040000}"/>
    <cellStyle name="Accent2 2" xfId="1182" xr:uid="{00000000-0005-0000-0000-00009D040000}"/>
    <cellStyle name="Accent2 2 2" xfId="1183" xr:uid="{00000000-0005-0000-0000-00009E040000}"/>
    <cellStyle name="Accent2 2 2 2" xfId="1184" xr:uid="{00000000-0005-0000-0000-00009F040000}"/>
    <cellStyle name="Accent2 2 2 3" xfId="1185" xr:uid="{00000000-0005-0000-0000-0000A0040000}"/>
    <cellStyle name="Accent2 2 2 4" xfId="1186" xr:uid="{00000000-0005-0000-0000-0000A1040000}"/>
    <cellStyle name="Accent2 2 2 5" xfId="1187" xr:uid="{00000000-0005-0000-0000-0000A2040000}"/>
    <cellStyle name="Accent2 2 3" xfId="1188" xr:uid="{00000000-0005-0000-0000-0000A3040000}"/>
    <cellStyle name="Accent2 2 3 2" xfId="1189" xr:uid="{00000000-0005-0000-0000-0000A4040000}"/>
    <cellStyle name="Accent2 2 3 3" xfId="1190" xr:uid="{00000000-0005-0000-0000-0000A5040000}"/>
    <cellStyle name="Accent2 2 4" xfId="1191" xr:uid="{00000000-0005-0000-0000-0000A6040000}"/>
    <cellStyle name="Accent2 2 5" xfId="1192" xr:uid="{00000000-0005-0000-0000-0000A7040000}"/>
    <cellStyle name="Accent2 3" xfId="1193" xr:uid="{00000000-0005-0000-0000-0000A8040000}"/>
    <cellStyle name="Accent2 3 2" xfId="1194" xr:uid="{00000000-0005-0000-0000-0000A9040000}"/>
    <cellStyle name="Accent2 3 3" xfId="1195" xr:uid="{00000000-0005-0000-0000-0000AA040000}"/>
    <cellStyle name="Accent2 3 4" xfId="1196" xr:uid="{00000000-0005-0000-0000-0000AB040000}"/>
    <cellStyle name="Accent2 4" xfId="1197" xr:uid="{00000000-0005-0000-0000-0000AC040000}"/>
    <cellStyle name="Accent2 4 2" xfId="1198" xr:uid="{00000000-0005-0000-0000-0000AD040000}"/>
    <cellStyle name="Accent2 4 3" xfId="1199" xr:uid="{00000000-0005-0000-0000-0000AE040000}"/>
    <cellStyle name="Accent2 4 4" xfId="1200" xr:uid="{00000000-0005-0000-0000-0000AF040000}"/>
    <cellStyle name="Accent2 5" xfId="1201" xr:uid="{00000000-0005-0000-0000-0000B0040000}"/>
    <cellStyle name="Accent2 5 2" xfId="1202" xr:uid="{00000000-0005-0000-0000-0000B1040000}"/>
    <cellStyle name="Accent2 5 2 2" xfId="1203" xr:uid="{00000000-0005-0000-0000-0000B2040000}"/>
    <cellStyle name="Accent2 5 2 3" xfId="1204" xr:uid="{00000000-0005-0000-0000-0000B3040000}"/>
    <cellStyle name="Accent2 5 2 4" xfId="1205" xr:uid="{00000000-0005-0000-0000-0000B4040000}"/>
    <cellStyle name="Accent2 5 3" xfId="1206" xr:uid="{00000000-0005-0000-0000-0000B5040000}"/>
    <cellStyle name="Accent2 5 3 2" xfId="1207" xr:uid="{00000000-0005-0000-0000-0000B6040000}"/>
    <cellStyle name="Accent2 5 3 3" xfId="1208" xr:uid="{00000000-0005-0000-0000-0000B7040000}"/>
    <cellStyle name="Accent2 5 4" xfId="1209" xr:uid="{00000000-0005-0000-0000-0000B8040000}"/>
    <cellStyle name="Accent2 5 4 2" xfId="1210" xr:uid="{00000000-0005-0000-0000-0000B9040000}"/>
    <cellStyle name="Accent2 5 4 2 2" xfId="1211" xr:uid="{00000000-0005-0000-0000-0000BA040000}"/>
    <cellStyle name="Accent2 5 4 3" xfId="1212" xr:uid="{00000000-0005-0000-0000-0000BB040000}"/>
    <cellStyle name="Accent2 5 4 3 2" xfId="1213" xr:uid="{00000000-0005-0000-0000-0000BC040000}"/>
    <cellStyle name="Accent2 6" xfId="1214" xr:uid="{00000000-0005-0000-0000-0000BD040000}"/>
    <cellStyle name="Accent2 6 2" xfId="1215" xr:uid="{00000000-0005-0000-0000-0000BE040000}"/>
    <cellStyle name="Accent2 6 3" xfId="1216" xr:uid="{00000000-0005-0000-0000-0000BF040000}"/>
    <cellStyle name="Accent2 7" xfId="1217" xr:uid="{00000000-0005-0000-0000-0000C0040000}"/>
    <cellStyle name="Accent2 7 2" xfId="1218" xr:uid="{00000000-0005-0000-0000-0000C1040000}"/>
    <cellStyle name="Accent2 8" xfId="1219" xr:uid="{00000000-0005-0000-0000-0000C2040000}"/>
    <cellStyle name="Accent2 9" xfId="1220" xr:uid="{00000000-0005-0000-0000-0000C3040000}"/>
    <cellStyle name="Accent2 9 2" xfId="1221" xr:uid="{00000000-0005-0000-0000-0000C4040000}"/>
    <cellStyle name="Accent2 9 2 2" xfId="1222" xr:uid="{00000000-0005-0000-0000-0000C5040000}"/>
    <cellStyle name="Accent2 9 3" xfId="1223" xr:uid="{00000000-0005-0000-0000-0000C6040000}"/>
    <cellStyle name="Accent2 9 3 2" xfId="1224" xr:uid="{00000000-0005-0000-0000-0000C7040000}"/>
    <cellStyle name="Accent3" xfId="1225" builtinId="37" customBuiltin="1"/>
    <cellStyle name="Accent3 10" xfId="1226" xr:uid="{00000000-0005-0000-0000-0000C9040000}"/>
    <cellStyle name="Accent3 10 2" xfId="1227" xr:uid="{00000000-0005-0000-0000-0000CA040000}"/>
    <cellStyle name="Accent3 10 3" xfId="1228" xr:uid="{00000000-0005-0000-0000-0000CB040000}"/>
    <cellStyle name="Accent3 11" xfId="1229" xr:uid="{00000000-0005-0000-0000-0000CC040000}"/>
    <cellStyle name="Accent3 12" xfId="1230" xr:uid="{00000000-0005-0000-0000-0000CD040000}"/>
    <cellStyle name="Accent3 13" xfId="1231" xr:uid="{00000000-0005-0000-0000-0000CE040000}"/>
    <cellStyle name="Accent3 14" xfId="1232" xr:uid="{00000000-0005-0000-0000-0000CF040000}"/>
    <cellStyle name="Accent3 2" xfId="1233" xr:uid="{00000000-0005-0000-0000-0000D0040000}"/>
    <cellStyle name="Accent3 2 2" xfId="1234" xr:uid="{00000000-0005-0000-0000-0000D1040000}"/>
    <cellStyle name="Accent3 2 2 2" xfId="1235" xr:uid="{00000000-0005-0000-0000-0000D2040000}"/>
    <cellStyle name="Accent3 2 2 3" xfId="1236" xr:uid="{00000000-0005-0000-0000-0000D3040000}"/>
    <cellStyle name="Accent3 2 2 4" xfId="1237" xr:uid="{00000000-0005-0000-0000-0000D4040000}"/>
    <cellStyle name="Accent3 2 2 5" xfId="1238" xr:uid="{00000000-0005-0000-0000-0000D5040000}"/>
    <cellStyle name="Accent3 2 3" xfId="1239" xr:uid="{00000000-0005-0000-0000-0000D6040000}"/>
    <cellStyle name="Accent3 2 3 2" xfId="1240" xr:uid="{00000000-0005-0000-0000-0000D7040000}"/>
    <cellStyle name="Accent3 2 3 3" xfId="1241" xr:uid="{00000000-0005-0000-0000-0000D8040000}"/>
    <cellStyle name="Accent3 2 4" xfId="1242" xr:uid="{00000000-0005-0000-0000-0000D9040000}"/>
    <cellStyle name="Accent3 2 5" xfId="1243" xr:uid="{00000000-0005-0000-0000-0000DA040000}"/>
    <cellStyle name="Accent3 3" xfId="1244" xr:uid="{00000000-0005-0000-0000-0000DB040000}"/>
    <cellStyle name="Accent3 3 2" xfId="1245" xr:uid="{00000000-0005-0000-0000-0000DC040000}"/>
    <cellStyle name="Accent3 3 3" xfId="1246" xr:uid="{00000000-0005-0000-0000-0000DD040000}"/>
    <cellStyle name="Accent3 3 4" xfId="1247" xr:uid="{00000000-0005-0000-0000-0000DE040000}"/>
    <cellStyle name="Accent3 4" xfId="1248" xr:uid="{00000000-0005-0000-0000-0000DF040000}"/>
    <cellStyle name="Accent3 4 2" xfId="1249" xr:uid="{00000000-0005-0000-0000-0000E0040000}"/>
    <cellStyle name="Accent3 4 3" xfId="1250" xr:uid="{00000000-0005-0000-0000-0000E1040000}"/>
    <cellStyle name="Accent3 4 4" xfId="1251" xr:uid="{00000000-0005-0000-0000-0000E2040000}"/>
    <cellStyle name="Accent3 5" xfId="1252" xr:uid="{00000000-0005-0000-0000-0000E3040000}"/>
    <cellStyle name="Accent3 5 2" xfId="1253" xr:uid="{00000000-0005-0000-0000-0000E4040000}"/>
    <cellStyle name="Accent3 5 2 2" xfId="1254" xr:uid="{00000000-0005-0000-0000-0000E5040000}"/>
    <cellStyle name="Accent3 5 2 3" xfId="1255" xr:uid="{00000000-0005-0000-0000-0000E6040000}"/>
    <cellStyle name="Accent3 5 2 4" xfId="1256" xr:uid="{00000000-0005-0000-0000-0000E7040000}"/>
    <cellStyle name="Accent3 5 3" xfId="1257" xr:uid="{00000000-0005-0000-0000-0000E8040000}"/>
    <cellStyle name="Accent3 5 3 2" xfId="1258" xr:uid="{00000000-0005-0000-0000-0000E9040000}"/>
    <cellStyle name="Accent3 5 3 3" xfId="1259" xr:uid="{00000000-0005-0000-0000-0000EA040000}"/>
    <cellStyle name="Accent3 5 4" xfId="1260" xr:uid="{00000000-0005-0000-0000-0000EB040000}"/>
    <cellStyle name="Accent3 5 4 2" xfId="1261" xr:uid="{00000000-0005-0000-0000-0000EC040000}"/>
    <cellStyle name="Accent3 5 4 2 2" xfId="1262" xr:uid="{00000000-0005-0000-0000-0000ED040000}"/>
    <cellStyle name="Accent3 5 4 3" xfId="1263" xr:uid="{00000000-0005-0000-0000-0000EE040000}"/>
    <cellStyle name="Accent3 5 4 3 2" xfId="1264" xr:uid="{00000000-0005-0000-0000-0000EF040000}"/>
    <cellStyle name="Accent3 6" xfId="1265" xr:uid="{00000000-0005-0000-0000-0000F0040000}"/>
    <cellStyle name="Accent3 6 2" xfId="1266" xr:uid="{00000000-0005-0000-0000-0000F1040000}"/>
    <cellStyle name="Accent3 6 3" xfId="1267" xr:uid="{00000000-0005-0000-0000-0000F2040000}"/>
    <cellStyle name="Accent3 7" xfId="1268" xr:uid="{00000000-0005-0000-0000-0000F3040000}"/>
    <cellStyle name="Accent3 7 2" xfId="1269" xr:uid="{00000000-0005-0000-0000-0000F4040000}"/>
    <cellStyle name="Accent3 8" xfId="1270" xr:uid="{00000000-0005-0000-0000-0000F5040000}"/>
    <cellStyle name="Accent3 9" xfId="1271" xr:uid="{00000000-0005-0000-0000-0000F6040000}"/>
    <cellStyle name="Accent3 9 2" xfId="1272" xr:uid="{00000000-0005-0000-0000-0000F7040000}"/>
    <cellStyle name="Accent3 9 2 2" xfId="1273" xr:uid="{00000000-0005-0000-0000-0000F8040000}"/>
    <cellStyle name="Accent3 9 3" xfId="1274" xr:uid="{00000000-0005-0000-0000-0000F9040000}"/>
    <cellStyle name="Accent3 9 3 2" xfId="1275" xr:uid="{00000000-0005-0000-0000-0000FA040000}"/>
    <cellStyle name="Accent4" xfId="1276" builtinId="41" customBuiltin="1"/>
    <cellStyle name="Accent4 10" xfId="1277" xr:uid="{00000000-0005-0000-0000-0000FC040000}"/>
    <cellStyle name="Accent4 10 2" xfId="1278" xr:uid="{00000000-0005-0000-0000-0000FD040000}"/>
    <cellStyle name="Accent4 10 3" xfId="1279" xr:uid="{00000000-0005-0000-0000-0000FE040000}"/>
    <cellStyle name="Accent4 11" xfId="1280" xr:uid="{00000000-0005-0000-0000-0000FF040000}"/>
    <cellStyle name="Accent4 12" xfId="1281" xr:uid="{00000000-0005-0000-0000-000000050000}"/>
    <cellStyle name="Accent4 13" xfId="1282" xr:uid="{00000000-0005-0000-0000-000001050000}"/>
    <cellStyle name="Accent4 14" xfId="1283" xr:uid="{00000000-0005-0000-0000-000002050000}"/>
    <cellStyle name="Accent4 2" xfId="1284" xr:uid="{00000000-0005-0000-0000-000003050000}"/>
    <cellStyle name="Accent4 2 2" xfId="1285" xr:uid="{00000000-0005-0000-0000-000004050000}"/>
    <cellStyle name="Accent4 2 2 2" xfId="1286" xr:uid="{00000000-0005-0000-0000-000005050000}"/>
    <cellStyle name="Accent4 2 2 3" xfId="1287" xr:uid="{00000000-0005-0000-0000-000006050000}"/>
    <cellStyle name="Accent4 2 2 4" xfId="1288" xr:uid="{00000000-0005-0000-0000-000007050000}"/>
    <cellStyle name="Accent4 2 2 5" xfId="1289" xr:uid="{00000000-0005-0000-0000-000008050000}"/>
    <cellStyle name="Accent4 2 3" xfId="1290" xr:uid="{00000000-0005-0000-0000-000009050000}"/>
    <cellStyle name="Accent4 2 3 2" xfId="1291" xr:uid="{00000000-0005-0000-0000-00000A050000}"/>
    <cellStyle name="Accent4 2 3 3" xfId="1292" xr:uid="{00000000-0005-0000-0000-00000B050000}"/>
    <cellStyle name="Accent4 2 4" xfId="1293" xr:uid="{00000000-0005-0000-0000-00000C050000}"/>
    <cellStyle name="Accent4 2 5" xfId="1294" xr:uid="{00000000-0005-0000-0000-00000D050000}"/>
    <cellStyle name="Accent4 3" xfId="1295" xr:uid="{00000000-0005-0000-0000-00000E050000}"/>
    <cellStyle name="Accent4 3 2" xfId="1296" xr:uid="{00000000-0005-0000-0000-00000F050000}"/>
    <cellStyle name="Accent4 3 3" xfId="1297" xr:uid="{00000000-0005-0000-0000-000010050000}"/>
    <cellStyle name="Accent4 3 4" xfId="1298" xr:uid="{00000000-0005-0000-0000-000011050000}"/>
    <cellStyle name="Accent4 4" xfId="1299" xr:uid="{00000000-0005-0000-0000-000012050000}"/>
    <cellStyle name="Accent4 4 2" xfId="1300" xr:uid="{00000000-0005-0000-0000-000013050000}"/>
    <cellStyle name="Accent4 4 3" xfId="1301" xr:uid="{00000000-0005-0000-0000-000014050000}"/>
    <cellStyle name="Accent4 4 4" xfId="1302" xr:uid="{00000000-0005-0000-0000-000015050000}"/>
    <cellStyle name="Accent4 5" xfId="1303" xr:uid="{00000000-0005-0000-0000-000016050000}"/>
    <cellStyle name="Accent4 5 2" xfId="1304" xr:uid="{00000000-0005-0000-0000-000017050000}"/>
    <cellStyle name="Accent4 5 2 2" xfId="1305" xr:uid="{00000000-0005-0000-0000-000018050000}"/>
    <cellStyle name="Accent4 5 2 3" xfId="1306" xr:uid="{00000000-0005-0000-0000-000019050000}"/>
    <cellStyle name="Accent4 5 2 4" xfId="1307" xr:uid="{00000000-0005-0000-0000-00001A050000}"/>
    <cellStyle name="Accent4 5 3" xfId="1308" xr:uid="{00000000-0005-0000-0000-00001B050000}"/>
    <cellStyle name="Accent4 5 3 2" xfId="1309" xr:uid="{00000000-0005-0000-0000-00001C050000}"/>
    <cellStyle name="Accent4 5 3 3" xfId="1310" xr:uid="{00000000-0005-0000-0000-00001D050000}"/>
    <cellStyle name="Accent4 5 4" xfId="1311" xr:uid="{00000000-0005-0000-0000-00001E050000}"/>
    <cellStyle name="Accent4 5 4 2" xfId="1312" xr:uid="{00000000-0005-0000-0000-00001F050000}"/>
    <cellStyle name="Accent4 5 4 2 2" xfId="1313" xr:uid="{00000000-0005-0000-0000-000020050000}"/>
    <cellStyle name="Accent4 5 4 3" xfId="1314" xr:uid="{00000000-0005-0000-0000-000021050000}"/>
    <cellStyle name="Accent4 5 4 3 2" xfId="1315" xr:uid="{00000000-0005-0000-0000-000022050000}"/>
    <cellStyle name="Accent4 6" xfId="1316" xr:uid="{00000000-0005-0000-0000-000023050000}"/>
    <cellStyle name="Accent4 6 2" xfId="1317" xr:uid="{00000000-0005-0000-0000-000024050000}"/>
    <cellStyle name="Accent4 6 3" xfId="1318" xr:uid="{00000000-0005-0000-0000-000025050000}"/>
    <cellStyle name="Accent4 7" xfId="1319" xr:uid="{00000000-0005-0000-0000-000026050000}"/>
    <cellStyle name="Accent4 7 2" xfId="1320" xr:uid="{00000000-0005-0000-0000-000027050000}"/>
    <cellStyle name="Accent4 8" xfId="1321" xr:uid="{00000000-0005-0000-0000-000028050000}"/>
    <cellStyle name="Accent4 9" xfId="1322" xr:uid="{00000000-0005-0000-0000-000029050000}"/>
    <cellStyle name="Accent4 9 2" xfId="1323" xr:uid="{00000000-0005-0000-0000-00002A050000}"/>
    <cellStyle name="Accent4 9 2 2" xfId="1324" xr:uid="{00000000-0005-0000-0000-00002B050000}"/>
    <cellStyle name="Accent4 9 3" xfId="1325" xr:uid="{00000000-0005-0000-0000-00002C050000}"/>
    <cellStyle name="Accent4 9 3 2" xfId="1326" xr:uid="{00000000-0005-0000-0000-00002D050000}"/>
    <cellStyle name="Accent5" xfId="1327" builtinId="45" customBuiltin="1"/>
    <cellStyle name="Accent5 10" xfId="1328" xr:uid="{00000000-0005-0000-0000-00002F050000}"/>
    <cellStyle name="Accent5 10 2" xfId="1329" xr:uid="{00000000-0005-0000-0000-000030050000}"/>
    <cellStyle name="Accent5 10 3" xfId="1330" xr:uid="{00000000-0005-0000-0000-000031050000}"/>
    <cellStyle name="Accent5 11" xfId="1331" xr:uid="{00000000-0005-0000-0000-000032050000}"/>
    <cellStyle name="Accent5 12" xfId="1332" xr:uid="{00000000-0005-0000-0000-000033050000}"/>
    <cellStyle name="Accent5 13" xfId="1333" xr:uid="{00000000-0005-0000-0000-000034050000}"/>
    <cellStyle name="Accent5 14" xfId="1334" xr:uid="{00000000-0005-0000-0000-000035050000}"/>
    <cellStyle name="Accent5 2" xfId="1335" xr:uid="{00000000-0005-0000-0000-000036050000}"/>
    <cellStyle name="Accent5 2 2" xfId="1336" xr:uid="{00000000-0005-0000-0000-000037050000}"/>
    <cellStyle name="Accent5 2 2 2" xfId="1337" xr:uid="{00000000-0005-0000-0000-000038050000}"/>
    <cellStyle name="Accent5 2 2 3" xfId="1338" xr:uid="{00000000-0005-0000-0000-000039050000}"/>
    <cellStyle name="Accent5 2 2 4" xfId="1339" xr:uid="{00000000-0005-0000-0000-00003A050000}"/>
    <cellStyle name="Accent5 2 2 5" xfId="1340" xr:uid="{00000000-0005-0000-0000-00003B050000}"/>
    <cellStyle name="Accent5 2 3" xfId="1341" xr:uid="{00000000-0005-0000-0000-00003C050000}"/>
    <cellStyle name="Accent5 2 3 2" xfId="1342" xr:uid="{00000000-0005-0000-0000-00003D050000}"/>
    <cellStyle name="Accent5 2 3 3" xfId="1343" xr:uid="{00000000-0005-0000-0000-00003E050000}"/>
    <cellStyle name="Accent5 2 4" xfId="1344" xr:uid="{00000000-0005-0000-0000-00003F050000}"/>
    <cellStyle name="Accent5 2 5" xfId="1345" xr:uid="{00000000-0005-0000-0000-000040050000}"/>
    <cellStyle name="Accent5 3" xfId="1346" xr:uid="{00000000-0005-0000-0000-000041050000}"/>
    <cellStyle name="Accent5 3 2" xfId="1347" xr:uid="{00000000-0005-0000-0000-000042050000}"/>
    <cellStyle name="Accent5 3 3" xfId="1348" xr:uid="{00000000-0005-0000-0000-000043050000}"/>
    <cellStyle name="Accent5 3 4" xfId="1349" xr:uid="{00000000-0005-0000-0000-000044050000}"/>
    <cellStyle name="Accent5 4" xfId="1350" xr:uid="{00000000-0005-0000-0000-000045050000}"/>
    <cellStyle name="Accent5 4 2" xfId="1351" xr:uid="{00000000-0005-0000-0000-000046050000}"/>
    <cellStyle name="Accent5 4 3" xfId="1352" xr:uid="{00000000-0005-0000-0000-000047050000}"/>
    <cellStyle name="Accent5 4 4" xfId="1353" xr:uid="{00000000-0005-0000-0000-000048050000}"/>
    <cellStyle name="Accent5 5" xfId="1354" xr:uid="{00000000-0005-0000-0000-000049050000}"/>
    <cellStyle name="Accent5 5 2" xfId="1355" xr:uid="{00000000-0005-0000-0000-00004A050000}"/>
    <cellStyle name="Accent5 5 2 2" xfId="1356" xr:uid="{00000000-0005-0000-0000-00004B050000}"/>
    <cellStyle name="Accent5 5 2 3" xfId="1357" xr:uid="{00000000-0005-0000-0000-00004C050000}"/>
    <cellStyle name="Accent5 5 2 4" xfId="1358" xr:uid="{00000000-0005-0000-0000-00004D050000}"/>
    <cellStyle name="Accent5 5 3" xfId="1359" xr:uid="{00000000-0005-0000-0000-00004E050000}"/>
    <cellStyle name="Accent5 5 3 2" xfId="1360" xr:uid="{00000000-0005-0000-0000-00004F050000}"/>
    <cellStyle name="Accent5 5 3 3" xfId="1361" xr:uid="{00000000-0005-0000-0000-000050050000}"/>
    <cellStyle name="Accent5 5 4" xfId="1362" xr:uid="{00000000-0005-0000-0000-000051050000}"/>
    <cellStyle name="Accent5 5 4 2" xfId="1363" xr:uid="{00000000-0005-0000-0000-000052050000}"/>
    <cellStyle name="Accent5 5 4 2 2" xfId="1364" xr:uid="{00000000-0005-0000-0000-000053050000}"/>
    <cellStyle name="Accent5 5 4 3" xfId="1365" xr:uid="{00000000-0005-0000-0000-000054050000}"/>
    <cellStyle name="Accent5 5 4 3 2" xfId="1366" xr:uid="{00000000-0005-0000-0000-000055050000}"/>
    <cellStyle name="Accent5 6" xfId="1367" xr:uid="{00000000-0005-0000-0000-000056050000}"/>
    <cellStyle name="Accent5 6 2" xfId="1368" xr:uid="{00000000-0005-0000-0000-000057050000}"/>
    <cellStyle name="Accent5 6 3" xfId="1369" xr:uid="{00000000-0005-0000-0000-000058050000}"/>
    <cellStyle name="Accent5 7" xfId="1370" xr:uid="{00000000-0005-0000-0000-000059050000}"/>
    <cellStyle name="Accent5 7 2" xfId="1371" xr:uid="{00000000-0005-0000-0000-00005A050000}"/>
    <cellStyle name="Accent5 8" xfId="1372" xr:uid="{00000000-0005-0000-0000-00005B050000}"/>
    <cellStyle name="Accent5 9" xfId="1373" xr:uid="{00000000-0005-0000-0000-00005C050000}"/>
    <cellStyle name="Accent5 9 2" xfId="1374" xr:uid="{00000000-0005-0000-0000-00005D050000}"/>
    <cellStyle name="Accent5 9 2 2" xfId="1375" xr:uid="{00000000-0005-0000-0000-00005E050000}"/>
    <cellStyle name="Accent5 9 3" xfId="1376" xr:uid="{00000000-0005-0000-0000-00005F050000}"/>
    <cellStyle name="Accent5 9 3 2" xfId="1377" xr:uid="{00000000-0005-0000-0000-000060050000}"/>
    <cellStyle name="Accent6" xfId="1378" builtinId="49" customBuiltin="1"/>
    <cellStyle name="Accent6 10" xfId="1379" xr:uid="{00000000-0005-0000-0000-000062050000}"/>
    <cellStyle name="Accent6 10 2" xfId="1380" xr:uid="{00000000-0005-0000-0000-000063050000}"/>
    <cellStyle name="Accent6 10 3" xfId="1381" xr:uid="{00000000-0005-0000-0000-000064050000}"/>
    <cellStyle name="Accent6 11" xfId="1382" xr:uid="{00000000-0005-0000-0000-000065050000}"/>
    <cellStyle name="Accent6 12" xfId="1383" xr:uid="{00000000-0005-0000-0000-000066050000}"/>
    <cellStyle name="Accent6 13" xfId="1384" xr:uid="{00000000-0005-0000-0000-000067050000}"/>
    <cellStyle name="Accent6 14" xfId="1385" xr:uid="{00000000-0005-0000-0000-000068050000}"/>
    <cellStyle name="Accent6 2" xfId="1386" xr:uid="{00000000-0005-0000-0000-000069050000}"/>
    <cellStyle name="Accent6 2 2" xfId="1387" xr:uid="{00000000-0005-0000-0000-00006A050000}"/>
    <cellStyle name="Accent6 2 2 2" xfId="1388" xr:uid="{00000000-0005-0000-0000-00006B050000}"/>
    <cellStyle name="Accent6 2 2 3" xfId="1389" xr:uid="{00000000-0005-0000-0000-00006C050000}"/>
    <cellStyle name="Accent6 2 2 4" xfId="1390" xr:uid="{00000000-0005-0000-0000-00006D050000}"/>
    <cellStyle name="Accent6 2 2 5" xfId="1391" xr:uid="{00000000-0005-0000-0000-00006E050000}"/>
    <cellStyle name="Accent6 2 3" xfId="1392" xr:uid="{00000000-0005-0000-0000-00006F050000}"/>
    <cellStyle name="Accent6 2 3 2" xfId="1393" xr:uid="{00000000-0005-0000-0000-000070050000}"/>
    <cellStyle name="Accent6 2 3 3" xfId="1394" xr:uid="{00000000-0005-0000-0000-000071050000}"/>
    <cellStyle name="Accent6 2 4" xfId="1395" xr:uid="{00000000-0005-0000-0000-000072050000}"/>
    <cellStyle name="Accent6 2 5" xfId="1396" xr:uid="{00000000-0005-0000-0000-000073050000}"/>
    <cellStyle name="Accent6 3" xfId="1397" xr:uid="{00000000-0005-0000-0000-000074050000}"/>
    <cellStyle name="Accent6 3 2" xfId="1398" xr:uid="{00000000-0005-0000-0000-000075050000}"/>
    <cellStyle name="Accent6 3 3" xfId="1399" xr:uid="{00000000-0005-0000-0000-000076050000}"/>
    <cellStyle name="Accent6 3 4" xfId="1400" xr:uid="{00000000-0005-0000-0000-000077050000}"/>
    <cellStyle name="Accent6 4" xfId="1401" xr:uid="{00000000-0005-0000-0000-000078050000}"/>
    <cellStyle name="Accent6 4 2" xfId="1402" xr:uid="{00000000-0005-0000-0000-000079050000}"/>
    <cellStyle name="Accent6 4 3" xfId="1403" xr:uid="{00000000-0005-0000-0000-00007A050000}"/>
    <cellStyle name="Accent6 4 4" xfId="1404" xr:uid="{00000000-0005-0000-0000-00007B050000}"/>
    <cellStyle name="Accent6 5" xfId="1405" xr:uid="{00000000-0005-0000-0000-00007C050000}"/>
    <cellStyle name="Accent6 5 2" xfId="1406" xr:uid="{00000000-0005-0000-0000-00007D050000}"/>
    <cellStyle name="Accent6 5 2 2" xfId="1407" xr:uid="{00000000-0005-0000-0000-00007E050000}"/>
    <cellStyle name="Accent6 5 2 3" xfId="1408" xr:uid="{00000000-0005-0000-0000-00007F050000}"/>
    <cellStyle name="Accent6 5 2 4" xfId="1409" xr:uid="{00000000-0005-0000-0000-000080050000}"/>
    <cellStyle name="Accent6 5 3" xfId="1410" xr:uid="{00000000-0005-0000-0000-000081050000}"/>
    <cellStyle name="Accent6 5 3 2" xfId="1411" xr:uid="{00000000-0005-0000-0000-000082050000}"/>
    <cellStyle name="Accent6 5 3 3" xfId="1412" xr:uid="{00000000-0005-0000-0000-000083050000}"/>
    <cellStyle name="Accent6 5 4" xfId="1413" xr:uid="{00000000-0005-0000-0000-000084050000}"/>
    <cellStyle name="Accent6 5 4 2" xfId="1414" xr:uid="{00000000-0005-0000-0000-000085050000}"/>
    <cellStyle name="Accent6 5 4 2 2" xfId="1415" xr:uid="{00000000-0005-0000-0000-000086050000}"/>
    <cellStyle name="Accent6 5 4 3" xfId="1416" xr:uid="{00000000-0005-0000-0000-000087050000}"/>
    <cellStyle name="Accent6 5 4 3 2" xfId="1417" xr:uid="{00000000-0005-0000-0000-000088050000}"/>
    <cellStyle name="Accent6 6" xfId="1418" xr:uid="{00000000-0005-0000-0000-000089050000}"/>
    <cellStyle name="Accent6 6 2" xfId="1419" xr:uid="{00000000-0005-0000-0000-00008A050000}"/>
    <cellStyle name="Accent6 6 3" xfId="1420" xr:uid="{00000000-0005-0000-0000-00008B050000}"/>
    <cellStyle name="Accent6 7" xfId="1421" xr:uid="{00000000-0005-0000-0000-00008C050000}"/>
    <cellStyle name="Accent6 7 2" xfId="1422" xr:uid="{00000000-0005-0000-0000-00008D050000}"/>
    <cellStyle name="Accent6 8" xfId="1423" xr:uid="{00000000-0005-0000-0000-00008E050000}"/>
    <cellStyle name="Accent6 9" xfId="1424" xr:uid="{00000000-0005-0000-0000-00008F050000}"/>
    <cellStyle name="Accent6 9 2" xfId="1425" xr:uid="{00000000-0005-0000-0000-000090050000}"/>
    <cellStyle name="Accent6 9 2 2" xfId="1426" xr:uid="{00000000-0005-0000-0000-000091050000}"/>
    <cellStyle name="Accent6 9 3" xfId="1427" xr:uid="{00000000-0005-0000-0000-000092050000}"/>
    <cellStyle name="Accent6 9 3 2" xfId="1428" xr:uid="{00000000-0005-0000-0000-000093050000}"/>
    <cellStyle name="Bad" xfId="1429" builtinId="27" customBuiltin="1"/>
    <cellStyle name="Bad 10" xfId="1430" xr:uid="{00000000-0005-0000-0000-000095050000}"/>
    <cellStyle name="Bad 10 2" xfId="1431" xr:uid="{00000000-0005-0000-0000-000096050000}"/>
    <cellStyle name="Bad 10 3" xfId="1432" xr:uid="{00000000-0005-0000-0000-000097050000}"/>
    <cellStyle name="Bad 11" xfId="1433" xr:uid="{00000000-0005-0000-0000-000098050000}"/>
    <cellStyle name="Bad 12" xfId="1434" xr:uid="{00000000-0005-0000-0000-000099050000}"/>
    <cellStyle name="Bad 13" xfId="1435" xr:uid="{00000000-0005-0000-0000-00009A050000}"/>
    <cellStyle name="Bad 14" xfId="1436" xr:uid="{00000000-0005-0000-0000-00009B050000}"/>
    <cellStyle name="Bad 2" xfId="1437" xr:uid="{00000000-0005-0000-0000-00009C050000}"/>
    <cellStyle name="Bad 2 2" xfId="1438" xr:uid="{00000000-0005-0000-0000-00009D050000}"/>
    <cellStyle name="Bad 2 2 2" xfId="1439" xr:uid="{00000000-0005-0000-0000-00009E050000}"/>
    <cellStyle name="Bad 2 2 3" xfId="1440" xr:uid="{00000000-0005-0000-0000-00009F050000}"/>
    <cellStyle name="Bad 2 2 4" xfId="1441" xr:uid="{00000000-0005-0000-0000-0000A0050000}"/>
    <cellStyle name="Bad 2 2 5" xfId="1442" xr:uid="{00000000-0005-0000-0000-0000A1050000}"/>
    <cellStyle name="Bad 2 3" xfId="1443" xr:uid="{00000000-0005-0000-0000-0000A2050000}"/>
    <cellStyle name="Bad 2 3 2" xfId="1444" xr:uid="{00000000-0005-0000-0000-0000A3050000}"/>
    <cellStyle name="Bad 2 3 3" xfId="1445" xr:uid="{00000000-0005-0000-0000-0000A4050000}"/>
    <cellStyle name="Bad 2 4" xfId="1446" xr:uid="{00000000-0005-0000-0000-0000A5050000}"/>
    <cellStyle name="Bad 2 5" xfId="1447" xr:uid="{00000000-0005-0000-0000-0000A6050000}"/>
    <cellStyle name="Bad 3" xfId="1448" xr:uid="{00000000-0005-0000-0000-0000A7050000}"/>
    <cellStyle name="Bad 3 2" xfId="1449" xr:uid="{00000000-0005-0000-0000-0000A8050000}"/>
    <cellStyle name="Bad 3 3" xfId="1450" xr:uid="{00000000-0005-0000-0000-0000A9050000}"/>
    <cellStyle name="Bad 3 4" xfId="1451" xr:uid="{00000000-0005-0000-0000-0000AA050000}"/>
    <cellStyle name="Bad 4" xfId="1452" xr:uid="{00000000-0005-0000-0000-0000AB050000}"/>
    <cellStyle name="Bad 4 2" xfId="1453" xr:uid="{00000000-0005-0000-0000-0000AC050000}"/>
    <cellStyle name="Bad 4 3" xfId="1454" xr:uid="{00000000-0005-0000-0000-0000AD050000}"/>
    <cellStyle name="Bad 4 4" xfId="1455" xr:uid="{00000000-0005-0000-0000-0000AE050000}"/>
    <cellStyle name="Bad 5" xfId="1456" xr:uid="{00000000-0005-0000-0000-0000AF050000}"/>
    <cellStyle name="Bad 5 2" xfId="1457" xr:uid="{00000000-0005-0000-0000-0000B0050000}"/>
    <cellStyle name="Bad 5 2 2" xfId="1458" xr:uid="{00000000-0005-0000-0000-0000B1050000}"/>
    <cellStyle name="Bad 5 2 3" xfId="1459" xr:uid="{00000000-0005-0000-0000-0000B2050000}"/>
    <cellStyle name="Bad 5 2 4" xfId="1460" xr:uid="{00000000-0005-0000-0000-0000B3050000}"/>
    <cellStyle name="Bad 5 3" xfId="1461" xr:uid="{00000000-0005-0000-0000-0000B4050000}"/>
    <cellStyle name="Bad 5 3 2" xfId="1462" xr:uid="{00000000-0005-0000-0000-0000B5050000}"/>
    <cellStyle name="Bad 5 3 3" xfId="1463" xr:uid="{00000000-0005-0000-0000-0000B6050000}"/>
    <cellStyle name="Bad 5 4" xfId="1464" xr:uid="{00000000-0005-0000-0000-0000B7050000}"/>
    <cellStyle name="Bad 5 4 2" xfId="1465" xr:uid="{00000000-0005-0000-0000-0000B8050000}"/>
    <cellStyle name="Bad 5 4 2 2" xfId="1466" xr:uid="{00000000-0005-0000-0000-0000B9050000}"/>
    <cellStyle name="Bad 5 4 3" xfId="1467" xr:uid="{00000000-0005-0000-0000-0000BA050000}"/>
    <cellStyle name="Bad 5 4 3 2" xfId="1468" xr:uid="{00000000-0005-0000-0000-0000BB050000}"/>
    <cellStyle name="Bad 6" xfId="1469" xr:uid="{00000000-0005-0000-0000-0000BC050000}"/>
    <cellStyle name="Bad 6 2" xfId="1470" xr:uid="{00000000-0005-0000-0000-0000BD050000}"/>
    <cellStyle name="Bad 6 3" xfId="1471" xr:uid="{00000000-0005-0000-0000-0000BE050000}"/>
    <cellStyle name="Bad 7" xfId="1472" xr:uid="{00000000-0005-0000-0000-0000BF050000}"/>
    <cellStyle name="Bad 7 2" xfId="1473" xr:uid="{00000000-0005-0000-0000-0000C0050000}"/>
    <cellStyle name="Bad 8" xfId="1474" xr:uid="{00000000-0005-0000-0000-0000C1050000}"/>
    <cellStyle name="Bad 9" xfId="1475" xr:uid="{00000000-0005-0000-0000-0000C2050000}"/>
    <cellStyle name="Bad 9 2" xfId="1476" xr:uid="{00000000-0005-0000-0000-0000C3050000}"/>
    <cellStyle name="Bad 9 2 2" xfId="1477" xr:uid="{00000000-0005-0000-0000-0000C4050000}"/>
    <cellStyle name="Bad 9 3" xfId="1478" xr:uid="{00000000-0005-0000-0000-0000C5050000}"/>
    <cellStyle name="Bad 9 3 2" xfId="1479" xr:uid="{00000000-0005-0000-0000-0000C6050000}"/>
    <cellStyle name="Calculation" xfId="1480" builtinId="22" customBuiltin="1"/>
    <cellStyle name="Calculation 10" xfId="1481" xr:uid="{00000000-0005-0000-0000-0000C8050000}"/>
    <cellStyle name="Calculation 10 2" xfId="1482" xr:uid="{00000000-0005-0000-0000-0000C9050000}"/>
    <cellStyle name="Calculation 10 3" xfId="1483" xr:uid="{00000000-0005-0000-0000-0000CA050000}"/>
    <cellStyle name="Calculation 11" xfId="1484" xr:uid="{00000000-0005-0000-0000-0000CB050000}"/>
    <cellStyle name="Calculation 12" xfId="1485" xr:uid="{00000000-0005-0000-0000-0000CC050000}"/>
    <cellStyle name="Calculation 13" xfId="1486" xr:uid="{00000000-0005-0000-0000-0000CD050000}"/>
    <cellStyle name="Calculation 14" xfId="1487" xr:uid="{00000000-0005-0000-0000-0000CE050000}"/>
    <cellStyle name="Calculation 2" xfId="1488" xr:uid="{00000000-0005-0000-0000-0000CF050000}"/>
    <cellStyle name="Calculation 2 2" xfId="1489" xr:uid="{00000000-0005-0000-0000-0000D0050000}"/>
    <cellStyle name="Calculation 2 2 2" xfId="1490" xr:uid="{00000000-0005-0000-0000-0000D1050000}"/>
    <cellStyle name="Calculation 2 2 3" xfId="1491" xr:uid="{00000000-0005-0000-0000-0000D2050000}"/>
    <cellStyle name="Calculation 2 2 4" xfId="1492" xr:uid="{00000000-0005-0000-0000-0000D3050000}"/>
    <cellStyle name="Calculation 2 2 5" xfId="1493" xr:uid="{00000000-0005-0000-0000-0000D4050000}"/>
    <cellStyle name="Calculation 2 3" xfId="1494" xr:uid="{00000000-0005-0000-0000-0000D5050000}"/>
    <cellStyle name="Calculation 2 3 2" xfId="1495" xr:uid="{00000000-0005-0000-0000-0000D6050000}"/>
    <cellStyle name="Calculation 2 3 3" xfId="1496" xr:uid="{00000000-0005-0000-0000-0000D7050000}"/>
    <cellStyle name="Calculation 2 4" xfId="1497" xr:uid="{00000000-0005-0000-0000-0000D8050000}"/>
    <cellStyle name="Calculation 2 5" xfId="1498" xr:uid="{00000000-0005-0000-0000-0000D9050000}"/>
    <cellStyle name="Calculation 3" xfId="1499" xr:uid="{00000000-0005-0000-0000-0000DA050000}"/>
    <cellStyle name="Calculation 3 2" xfId="1500" xr:uid="{00000000-0005-0000-0000-0000DB050000}"/>
    <cellStyle name="Calculation 3 3" xfId="1501" xr:uid="{00000000-0005-0000-0000-0000DC050000}"/>
    <cellStyle name="Calculation 3 4" xfId="1502" xr:uid="{00000000-0005-0000-0000-0000DD050000}"/>
    <cellStyle name="Calculation 4" xfId="1503" xr:uid="{00000000-0005-0000-0000-0000DE050000}"/>
    <cellStyle name="Calculation 4 2" xfId="1504" xr:uid="{00000000-0005-0000-0000-0000DF050000}"/>
    <cellStyle name="Calculation 4 3" xfId="1505" xr:uid="{00000000-0005-0000-0000-0000E0050000}"/>
    <cellStyle name="Calculation 4 4" xfId="1506" xr:uid="{00000000-0005-0000-0000-0000E1050000}"/>
    <cellStyle name="Calculation 5" xfId="1507" xr:uid="{00000000-0005-0000-0000-0000E2050000}"/>
    <cellStyle name="Calculation 5 2" xfId="1508" xr:uid="{00000000-0005-0000-0000-0000E3050000}"/>
    <cellStyle name="Calculation 5 2 2" xfId="1509" xr:uid="{00000000-0005-0000-0000-0000E4050000}"/>
    <cellStyle name="Calculation 5 2 3" xfId="1510" xr:uid="{00000000-0005-0000-0000-0000E5050000}"/>
    <cellStyle name="Calculation 5 2 4" xfId="1511" xr:uid="{00000000-0005-0000-0000-0000E6050000}"/>
    <cellStyle name="Calculation 5 3" xfId="1512" xr:uid="{00000000-0005-0000-0000-0000E7050000}"/>
    <cellStyle name="Calculation 5 3 2" xfId="1513" xr:uid="{00000000-0005-0000-0000-0000E8050000}"/>
    <cellStyle name="Calculation 5 3 3" xfId="1514" xr:uid="{00000000-0005-0000-0000-0000E9050000}"/>
    <cellStyle name="Calculation 5 4" xfId="1515" xr:uid="{00000000-0005-0000-0000-0000EA050000}"/>
    <cellStyle name="Calculation 5 4 2" xfId="1516" xr:uid="{00000000-0005-0000-0000-0000EB050000}"/>
    <cellStyle name="Calculation 5 4 2 2" xfId="1517" xr:uid="{00000000-0005-0000-0000-0000EC050000}"/>
    <cellStyle name="Calculation 5 4 3" xfId="1518" xr:uid="{00000000-0005-0000-0000-0000ED050000}"/>
    <cellStyle name="Calculation 5 4 3 2" xfId="1519" xr:uid="{00000000-0005-0000-0000-0000EE050000}"/>
    <cellStyle name="Calculation 6" xfId="1520" xr:uid="{00000000-0005-0000-0000-0000EF050000}"/>
    <cellStyle name="Calculation 6 2" xfId="1521" xr:uid="{00000000-0005-0000-0000-0000F0050000}"/>
    <cellStyle name="Calculation 6 3" xfId="1522" xr:uid="{00000000-0005-0000-0000-0000F1050000}"/>
    <cellStyle name="Calculation 7" xfId="1523" xr:uid="{00000000-0005-0000-0000-0000F2050000}"/>
    <cellStyle name="Calculation 7 2" xfId="1524" xr:uid="{00000000-0005-0000-0000-0000F3050000}"/>
    <cellStyle name="Calculation 8" xfId="1525" xr:uid="{00000000-0005-0000-0000-0000F4050000}"/>
    <cellStyle name="Calculation 9" xfId="1526" xr:uid="{00000000-0005-0000-0000-0000F5050000}"/>
    <cellStyle name="Calculation 9 2" xfId="1527" xr:uid="{00000000-0005-0000-0000-0000F6050000}"/>
    <cellStyle name="Calculation 9 2 2" xfId="1528" xr:uid="{00000000-0005-0000-0000-0000F7050000}"/>
    <cellStyle name="Calculation 9 3" xfId="1529" xr:uid="{00000000-0005-0000-0000-0000F8050000}"/>
    <cellStyle name="Calculation 9 3 2" xfId="1530" xr:uid="{00000000-0005-0000-0000-0000F9050000}"/>
    <cellStyle name="Check Cell" xfId="1531" builtinId="23" customBuiltin="1"/>
    <cellStyle name="Check Cell 10" xfId="1532" xr:uid="{00000000-0005-0000-0000-0000FB050000}"/>
    <cellStyle name="Check Cell 10 2" xfId="1533" xr:uid="{00000000-0005-0000-0000-0000FC050000}"/>
    <cellStyle name="Check Cell 10 3" xfId="1534" xr:uid="{00000000-0005-0000-0000-0000FD050000}"/>
    <cellStyle name="Check Cell 11" xfId="1535" xr:uid="{00000000-0005-0000-0000-0000FE050000}"/>
    <cellStyle name="Check Cell 12" xfId="1536" xr:uid="{00000000-0005-0000-0000-0000FF050000}"/>
    <cellStyle name="Check Cell 13" xfId="1537" xr:uid="{00000000-0005-0000-0000-000000060000}"/>
    <cellStyle name="Check Cell 14" xfId="1538" xr:uid="{00000000-0005-0000-0000-000001060000}"/>
    <cellStyle name="Check Cell 2" xfId="1539" xr:uid="{00000000-0005-0000-0000-000002060000}"/>
    <cellStyle name="Check Cell 2 2" xfId="1540" xr:uid="{00000000-0005-0000-0000-000003060000}"/>
    <cellStyle name="Check Cell 2 2 2" xfId="1541" xr:uid="{00000000-0005-0000-0000-000004060000}"/>
    <cellStyle name="Check Cell 2 2 3" xfId="1542" xr:uid="{00000000-0005-0000-0000-000005060000}"/>
    <cellStyle name="Check Cell 2 2 4" xfId="1543" xr:uid="{00000000-0005-0000-0000-000006060000}"/>
    <cellStyle name="Check Cell 2 2 5" xfId="1544" xr:uid="{00000000-0005-0000-0000-000007060000}"/>
    <cellStyle name="Check Cell 2 3" xfId="1545" xr:uid="{00000000-0005-0000-0000-000008060000}"/>
    <cellStyle name="Check Cell 2 3 2" xfId="1546" xr:uid="{00000000-0005-0000-0000-000009060000}"/>
    <cellStyle name="Check Cell 2 3 3" xfId="1547" xr:uid="{00000000-0005-0000-0000-00000A060000}"/>
    <cellStyle name="Check Cell 2 4" xfId="1548" xr:uid="{00000000-0005-0000-0000-00000B060000}"/>
    <cellStyle name="Check Cell 2 5" xfId="1549" xr:uid="{00000000-0005-0000-0000-00000C060000}"/>
    <cellStyle name="Check Cell 3" xfId="1550" xr:uid="{00000000-0005-0000-0000-00000D060000}"/>
    <cellStyle name="Check Cell 3 2" xfId="1551" xr:uid="{00000000-0005-0000-0000-00000E060000}"/>
    <cellStyle name="Check Cell 3 3" xfId="1552" xr:uid="{00000000-0005-0000-0000-00000F060000}"/>
    <cellStyle name="Check Cell 3 4" xfId="1553" xr:uid="{00000000-0005-0000-0000-000010060000}"/>
    <cellStyle name="Check Cell 4" xfId="1554" xr:uid="{00000000-0005-0000-0000-000011060000}"/>
    <cellStyle name="Check Cell 4 2" xfId="1555" xr:uid="{00000000-0005-0000-0000-000012060000}"/>
    <cellStyle name="Check Cell 4 3" xfId="1556" xr:uid="{00000000-0005-0000-0000-000013060000}"/>
    <cellStyle name="Check Cell 4 4" xfId="1557" xr:uid="{00000000-0005-0000-0000-000014060000}"/>
    <cellStyle name="Check Cell 5" xfId="1558" xr:uid="{00000000-0005-0000-0000-000015060000}"/>
    <cellStyle name="Check Cell 5 2" xfId="1559" xr:uid="{00000000-0005-0000-0000-000016060000}"/>
    <cellStyle name="Check Cell 5 2 2" xfId="1560" xr:uid="{00000000-0005-0000-0000-000017060000}"/>
    <cellStyle name="Check Cell 5 2 3" xfId="1561" xr:uid="{00000000-0005-0000-0000-000018060000}"/>
    <cellStyle name="Check Cell 5 2 4" xfId="1562" xr:uid="{00000000-0005-0000-0000-000019060000}"/>
    <cellStyle name="Check Cell 5 3" xfId="1563" xr:uid="{00000000-0005-0000-0000-00001A060000}"/>
    <cellStyle name="Check Cell 5 3 2" xfId="1564" xr:uid="{00000000-0005-0000-0000-00001B060000}"/>
    <cellStyle name="Check Cell 5 3 3" xfId="1565" xr:uid="{00000000-0005-0000-0000-00001C060000}"/>
    <cellStyle name="Check Cell 5 4" xfId="1566" xr:uid="{00000000-0005-0000-0000-00001D060000}"/>
    <cellStyle name="Check Cell 5 4 2" xfId="1567" xr:uid="{00000000-0005-0000-0000-00001E060000}"/>
    <cellStyle name="Check Cell 5 4 2 2" xfId="1568" xr:uid="{00000000-0005-0000-0000-00001F060000}"/>
    <cellStyle name="Check Cell 5 4 3" xfId="1569" xr:uid="{00000000-0005-0000-0000-000020060000}"/>
    <cellStyle name="Check Cell 5 4 3 2" xfId="1570" xr:uid="{00000000-0005-0000-0000-000021060000}"/>
    <cellStyle name="Check Cell 6" xfId="1571" xr:uid="{00000000-0005-0000-0000-000022060000}"/>
    <cellStyle name="Check Cell 6 2" xfId="1572" xr:uid="{00000000-0005-0000-0000-000023060000}"/>
    <cellStyle name="Check Cell 6 3" xfId="1573" xr:uid="{00000000-0005-0000-0000-000024060000}"/>
    <cellStyle name="Check Cell 7" xfId="1574" xr:uid="{00000000-0005-0000-0000-000025060000}"/>
    <cellStyle name="Check Cell 7 2" xfId="1575" xr:uid="{00000000-0005-0000-0000-000026060000}"/>
    <cellStyle name="Check Cell 8" xfId="1576" xr:uid="{00000000-0005-0000-0000-000027060000}"/>
    <cellStyle name="Check Cell 9" xfId="1577" xr:uid="{00000000-0005-0000-0000-000028060000}"/>
    <cellStyle name="Check Cell 9 2" xfId="1578" xr:uid="{00000000-0005-0000-0000-000029060000}"/>
    <cellStyle name="Check Cell 9 2 2" xfId="1579" xr:uid="{00000000-0005-0000-0000-00002A060000}"/>
    <cellStyle name="Check Cell 9 3" xfId="1580" xr:uid="{00000000-0005-0000-0000-00002B060000}"/>
    <cellStyle name="Check Cell 9 3 2" xfId="1581" xr:uid="{00000000-0005-0000-0000-00002C060000}"/>
    <cellStyle name="Comma" xfId="1582" builtinId="3"/>
    <cellStyle name="Comma 10" xfId="1583" xr:uid="{00000000-0005-0000-0000-00002E060000}"/>
    <cellStyle name="Comma 11" xfId="1584" xr:uid="{00000000-0005-0000-0000-00002F060000}"/>
    <cellStyle name="Comma 12" xfId="1585" xr:uid="{00000000-0005-0000-0000-000030060000}"/>
    <cellStyle name="Comma 13" xfId="1586" xr:uid="{00000000-0005-0000-0000-000031060000}"/>
    <cellStyle name="Comma 14" xfId="1587" xr:uid="{00000000-0005-0000-0000-000032060000}"/>
    <cellStyle name="Comma 15" xfId="1588" xr:uid="{00000000-0005-0000-0000-000033060000}"/>
    <cellStyle name="Comma 16" xfId="1589" xr:uid="{00000000-0005-0000-0000-000034060000}"/>
    <cellStyle name="Comma 2" xfId="1590" xr:uid="{00000000-0005-0000-0000-000035060000}"/>
    <cellStyle name="Comma 2 2" xfId="1591" xr:uid="{00000000-0005-0000-0000-000036060000}"/>
    <cellStyle name="Comma 3" xfId="1592" xr:uid="{00000000-0005-0000-0000-000037060000}"/>
    <cellStyle name="Comma 3 2" xfId="1593" xr:uid="{00000000-0005-0000-0000-000038060000}"/>
    <cellStyle name="Comma 4" xfId="1594" xr:uid="{00000000-0005-0000-0000-000039060000}"/>
    <cellStyle name="Comma 5" xfId="1595" xr:uid="{00000000-0005-0000-0000-00003A060000}"/>
    <cellStyle name="Comma 5 2" xfId="1596" xr:uid="{00000000-0005-0000-0000-00003B060000}"/>
    <cellStyle name="Comma 5 3" xfId="1597" xr:uid="{00000000-0005-0000-0000-00003C060000}"/>
    <cellStyle name="Comma 6" xfId="1598" xr:uid="{00000000-0005-0000-0000-00003D060000}"/>
    <cellStyle name="Comma 6 10" xfId="1599" xr:uid="{00000000-0005-0000-0000-00003E060000}"/>
    <cellStyle name="Comma 6 2" xfId="1600" xr:uid="{00000000-0005-0000-0000-00003F060000}"/>
    <cellStyle name="Comma 6 2 2" xfId="1601" xr:uid="{00000000-0005-0000-0000-000040060000}"/>
    <cellStyle name="Comma 6 2 2 2" xfId="1602" xr:uid="{00000000-0005-0000-0000-000041060000}"/>
    <cellStyle name="Comma 6 2 2 2 2" xfId="1603" xr:uid="{00000000-0005-0000-0000-000042060000}"/>
    <cellStyle name="Comma 6 2 2 2 2 2" xfId="1604" xr:uid="{00000000-0005-0000-0000-000043060000}"/>
    <cellStyle name="Comma 6 2 2 2 3" xfId="1605" xr:uid="{00000000-0005-0000-0000-000044060000}"/>
    <cellStyle name="Comma 6 2 2 2 3 2" xfId="1606" xr:uid="{00000000-0005-0000-0000-000045060000}"/>
    <cellStyle name="Comma 6 2 2 2 4" xfId="1607" xr:uid="{00000000-0005-0000-0000-000046060000}"/>
    <cellStyle name="Comma 6 2 2 3" xfId="1608" xr:uid="{00000000-0005-0000-0000-000047060000}"/>
    <cellStyle name="Comma 6 2 2 3 2" xfId="1609" xr:uid="{00000000-0005-0000-0000-000048060000}"/>
    <cellStyle name="Comma 6 2 2 3 2 2" xfId="1610" xr:uid="{00000000-0005-0000-0000-000049060000}"/>
    <cellStyle name="Comma 6 2 2 3 3" xfId="1611" xr:uid="{00000000-0005-0000-0000-00004A060000}"/>
    <cellStyle name="Comma 6 2 2 4" xfId="1612" xr:uid="{00000000-0005-0000-0000-00004B060000}"/>
    <cellStyle name="Comma 6 2 2 4 2" xfId="1613" xr:uid="{00000000-0005-0000-0000-00004C060000}"/>
    <cellStyle name="Comma 6 2 2 5" xfId="1614" xr:uid="{00000000-0005-0000-0000-00004D060000}"/>
    <cellStyle name="Comma 6 2 2 5 2" xfId="1615" xr:uid="{00000000-0005-0000-0000-00004E060000}"/>
    <cellStyle name="Comma 6 2 2 6" xfId="1616" xr:uid="{00000000-0005-0000-0000-00004F060000}"/>
    <cellStyle name="Comma 6 2 3" xfId="1617" xr:uid="{00000000-0005-0000-0000-000050060000}"/>
    <cellStyle name="Comma 6 2 3 2" xfId="1618" xr:uid="{00000000-0005-0000-0000-000051060000}"/>
    <cellStyle name="Comma 6 2 3 2 2" xfId="1619" xr:uid="{00000000-0005-0000-0000-000052060000}"/>
    <cellStyle name="Comma 6 2 3 2 2 2" xfId="1620" xr:uid="{00000000-0005-0000-0000-000053060000}"/>
    <cellStyle name="Comma 6 2 3 2 3" xfId="1621" xr:uid="{00000000-0005-0000-0000-000054060000}"/>
    <cellStyle name="Comma 6 2 3 2 3 2" xfId="1622" xr:uid="{00000000-0005-0000-0000-000055060000}"/>
    <cellStyle name="Comma 6 2 3 2 4" xfId="1623" xr:uid="{00000000-0005-0000-0000-000056060000}"/>
    <cellStyle name="Comma 6 2 3 3" xfId="1624" xr:uid="{00000000-0005-0000-0000-000057060000}"/>
    <cellStyle name="Comma 6 2 3 3 2" xfId="1625" xr:uid="{00000000-0005-0000-0000-000058060000}"/>
    <cellStyle name="Comma 6 2 3 3 2 2" xfId="1626" xr:uid="{00000000-0005-0000-0000-000059060000}"/>
    <cellStyle name="Comma 6 2 3 3 3" xfId="1627" xr:uid="{00000000-0005-0000-0000-00005A060000}"/>
    <cellStyle name="Comma 6 2 3 4" xfId="1628" xr:uid="{00000000-0005-0000-0000-00005B060000}"/>
    <cellStyle name="Comma 6 2 3 4 2" xfId="1629" xr:uid="{00000000-0005-0000-0000-00005C060000}"/>
    <cellStyle name="Comma 6 2 3 5" xfId="1630" xr:uid="{00000000-0005-0000-0000-00005D060000}"/>
    <cellStyle name="Comma 6 2 3 5 2" xfId="1631" xr:uid="{00000000-0005-0000-0000-00005E060000}"/>
    <cellStyle name="Comma 6 2 3 6" xfId="1632" xr:uid="{00000000-0005-0000-0000-00005F060000}"/>
    <cellStyle name="Comma 6 2 4" xfId="1633" xr:uid="{00000000-0005-0000-0000-000060060000}"/>
    <cellStyle name="Comma 6 2 4 2" xfId="1634" xr:uid="{00000000-0005-0000-0000-000061060000}"/>
    <cellStyle name="Comma 6 2 4 2 2" xfId="1635" xr:uid="{00000000-0005-0000-0000-000062060000}"/>
    <cellStyle name="Comma 6 2 4 3" xfId="1636" xr:uid="{00000000-0005-0000-0000-000063060000}"/>
    <cellStyle name="Comma 6 2 4 3 2" xfId="1637" xr:uid="{00000000-0005-0000-0000-000064060000}"/>
    <cellStyle name="Comma 6 2 4 4" xfId="1638" xr:uid="{00000000-0005-0000-0000-000065060000}"/>
    <cellStyle name="Comma 6 2 5" xfId="1639" xr:uid="{00000000-0005-0000-0000-000066060000}"/>
    <cellStyle name="Comma 6 2 5 2" xfId="1640" xr:uid="{00000000-0005-0000-0000-000067060000}"/>
    <cellStyle name="Comma 6 2 5 2 2" xfId="1641" xr:uid="{00000000-0005-0000-0000-000068060000}"/>
    <cellStyle name="Comma 6 2 5 3" xfId="1642" xr:uid="{00000000-0005-0000-0000-000069060000}"/>
    <cellStyle name="Comma 6 2 6" xfId="1643" xr:uid="{00000000-0005-0000-0000-00006A060000}"/>
    <cellStyle name="Comma 6 2 6 2" xfId="1644" xr:uid="{00000000-0005-0000-0000-00006B060000}"/>
    <cellStyle name="Comma 6 2 7" xfId="1645" xr:uid="{00000000-0005-0000-0000-00006C060000}"/>
    <cellStyle name="Comma 6 2 7 2" xfId="1646" xr:uid="{00000000-0005-0000-0000-00006D060000}"/>
    <cellStyle name="Comma 6 2 8" xfId="1647" xr:uid="{00000000-0005-0000-0000-00006E060000}"/>
    <cellStyle name="Comma 6 3" xfId="1648" xr:uid="{00000000-0005-0000-0000-00006F060000}"/>
    <cellStyle name="Comma 6 4" xfId="1649" xr:uid="{00000000-0005-0000-0000-000070060000}"/>
    <cellStyle name="Comma 6 4 2" xfId="1650" xr:uid="{00000000-0005-0000-0000-000071060000}"/>
    <cellStyle name="Comma 6 4 2 2" xfId="1651" xr:uid="{00000000-0005-0000-0000-000072060000}"/>
    <cellStyle name="Comma 6 4 2 2 2" xfId="1652" xr:uid="{00000000-0005-0000-0000-000073060000}"/>
    <cellStyle name="Comma 6 4 2 3" xfId="1653" xr:uid="{00000000-0005-0000-0000-000074060000}"/>
    <cellStyle name="Comma 6 4 2 3 2" xfId="1654" xr:uid="{00000000-0005-0000-0000-000075060000}"/>
    <cellStyle name="Comma 6 4 2 4" xfId="1655" xr:uid="{00000000-0005-0000-0000-000076060000}"/>
    <cellStyle name="Comma 6 4 3" xfId="1656" xr:uid="{00000000-0005-0000-0000-000077060000}"/>
    <cellStyle name="Comma 6 4 3 2" xfId="1657" xr:uid="{00000000-0005-0000-0000-000078060000}"/>
    <cellStyle name="Comma 6 4 3 2 2" xfId="1658" xr:uid="{00000000-0005-0000-0000-000079060000}"/>
    <cellStyle name="Comma 6 4 3 3" xfId="1659" xr:uid="{00000000-0005-0000-0000-00007A060000}"/>
    <cellStyle name="Comma 6 4 4" xfId="1660" xr:uid="{00000000-0005-0000-0000-00007B060000}"/>
    <cellStyle name="Comma 6 4 4 2" xfId="1661" xr:uid="{00000000-0005-0000-0000-00007C060000}"/>
    <cellStyle name="Comma 6 4 5" xfId="1662" xr:uid="{00000000-0005-0000-0000-00007D060000}"/>
    <cellStyle name="Comma 6 4 5 2" xfId="1663" xr:uid="{00000000-0005-0000-0000-00007E060000}"/>
    <cellStyle name="Comma 6 4 6" xfId="1664" xr:uid="{00000000-0005-0000-0000-00007F060000}"/>
    <cellStyle name="Comma 6 5" xfId="1665" xr:uid="{00000000-0005-0000-0000-000080060000}"/>
    <cellStyle name="Comma 6 5 2" xfId="1666" xr:uid="{00000000-0005-0000-0000-000081060000}"/>
    <cellStyle name="Comma 6 5 2 2" xfId="1667" xr:uid="{00000000-0005-0000-0000-000082060000}"/>
    <cellStyle name="Comma 6 5 2 2 2" xfId="1668" xr:uid="{00000000-0005-0000-0000-000083060000}"/>
    <cellStyle name="Comma 6 5 2 3" xfId="1669" xr:uid="{00000000-0005-0000-0000-000084060000}"/>
    <cellStyle name="Comma 6 5 2 3 2" xfId="1670" xr:uid="{00000000-0005-0000-0000-000085060000}"/>
    <cellStyle name="Comma 6 5 2 4" xfId="1671" xr:uid="{00000000-0005-0000-0000-000086060000}"/>
    <cellStyle name="Comma 6 5 3" xfId="1672" xr:uid="{00000000-0005-0000-0000-000087060000}"/>
    <cellStyle name="Comma 6 5 3 2" xfId="1673" xr:uid="{00000000-0005-0000-0000-000088060000}"/>
    <cellStyle name="Comma 6 5 3 2 2" xfId="1674" xr:uid="{00000000-0005-0000-0000-000089060000}"/>
    <cellStyle name="Comma 6 5 3 3" xfId="1675" xr:uid="{00000000-0005-0000-0000-00008A060000}"/>
    <cellStyle name="Comma 6 5 4" xfId="1676" xr:uid="{00000000-0005-0000-0000-00008B060000}"/>
    <cellStyle name="Comma 6 5 4 2" xfId="1677" xr:uid="{00000000-0005-0000-0000-00008C060000}"/>
    <cellStyle name="Comma 6 5 5" xfId="1678" xr:uid="{00000000-0005-0000-0000-00008D060000}"/>
    <cellStyle name="Comma 6 5 5 2" xfId="1679" xr:uid="{00000000-0005-0000-0000-00008E060000}"/>
    <cellStyle name="Comma 6 5 6" xfId="1680" xr:uid="{00000000-0005-0000-0000-00008F060000}"/>
    <cellStyle name="Comma 6 6" xfId="1681" xr:uid="{00000000-0005-0000-0000-000090060000}"/>
    <cellStyle name="Comma 6 6 2" xfId="1682" xr:uid="{00000000-0005-0000-0000-000091060000}"/>
    <cellStyle name="Comma 6 6 2 2" xfId="1683" xr:uid="{00000000-0005-0000-0000-000092060000}"/>
    <cellStyle name="Comma 6 6 3" xfId="1684" xr:uid="{00000000-0005-0000-0000-000093060000}"/>
    <cellStyle name="Comma 6 6 3 2" xfId="1685" xr:uid="{00000000-0005-0000-0000-000094060000}"/>
    <cellStyle name="Comma 6 6 4" xfId="1686" xr:uid="{00000000-0005-0000-0000-000095060000}"/>
    <cellStyle name="Comma 6 7" xfId="1687" xr:uid="{00000000-0005-0000-0000-000096060000}"/>
    <cellStyle name="Comma 6 7 2" xfId="1688" xr:uid="{00000000-0005-0000-0000-000097060000}"/>
    <cellStyle name="Comma 6 7 2 2" xfId="1689" xr:uid="{00000000-0005-0000-0000-000098060000}"/>
    <cellStyle name="Comma 6 7 3" xfId="1690" xr:uid="{00000000-0005-0000-0000-000099060000}"/>
    <cellStyle name="Comma 6 7 3 2" xfId="1691" xr:uid="{00000000-0005-0000-0000-00009A060000}"/>
    <cellStyle name="Comma 6 7 4" xfId="1692" xr:uid="{00000000-0005-0000-0000-00009B060000}"/>
    <cellStyle name="Comma 6 8" xfId="1693" xr:uid="{00000000-0005-0000-0000-00009C060000}"/>
    <cellStyle name="Comma 6 9" xfId="1694" xr:uid="{00000000-0005-0000-0000-00009D060000}"/>
    <cellStyle name="Comma 7" xfId="1695" xr:uid="{00000000-0005-0000-0000-00009E060000}"/>
    <cellStyle name="Comma 7 2" xfId="1696" xr:uid="{00000000-0005-0000-0000-00009F060000}"/>
    <cellStyle name="Comma 7 3" xfId="1697" xr:uid="{00000000-0005-0000-0000-0000A0060000}"/>
    <cellStyle name="Comma 8" xfId="1698" xr:uid="{00000000-0005-0000-0000-0000A1060000}"/>
    <cellStyle name="Comma 9" xfId="1699" xr:uid="{00000000-0005-0000-0000-0000A2060000}"/>
    <cellStyle name="Currency" xfId="1700" builtinId="4"/>
    <cellStyle name="Currency 10" xfId="1701" xr:uid="{00000000-0005-0000-0000-0000A4060000}"/>
    <cellStyle name="Currency 11" xfId="1702" xr:uid="{00000000-0005-0000-0000-0000A5060000}"/>
    <cellStyle name="Currency 12" xfId="1703" xr:uid="{00000000-0005-0000-0000-0000A6060000}"/>
    <cellStyle name="Currency 13" xfId="1704" xr:uid="{00000000-0005-0000-0000-0000A7060000}"/>
    <cellStyle name="Currency 14" xfId="1705" xr:uid="{00000000-0005-0000-0000-0000A8060000}"/>
    <cellStyle name="Currency 2" xfId="1706" xr:uid="{00000000-0005-0000-0000-0000A9060000}"/>
    <cellStyle name="Currency 2 2" xfId="1707" xr:uid="{00000000-0005-0000-0000-0000AA060000}"/>
    <cellStyle name="Currency 3" xfId="1708" xr:uid="{00000000-0005-0000-0000-0000AB060000}"/>
    <cellStyle name="Currency 3 2" xfId="1709" xr:uid="{00000000-0005-0000-0000-0000AC060000}"/>
    <cellStyle name="Currency 4" xfId="1710" xr:uid="{00000000-0005-0000-0000-0000AD060000}"/>
    <cellStyle name="Currency 5" xfId="1711" xr:uid="{00000000-0005-0000-0000-0000AE060000}"/>
    <cellStyle name="Currency 6" xfId="1712" xr:uid="{00000000-0005-0000-0000-0000AF060000}"/>
    <cellStyle name="Currency 7" xfId="1713" xr:uid="{00000000-0005-0000-0000-0000B0060000}"/>
    <cellStyle name="Currency 8" xfId="1714" xr:uid="{00000000-0005-0000-0000-0000B1060000}"/>
    <cellStyle name="Currency 9" xfId="1715" xr:uid="{00000000-0005-0000-0000-0000B2060000}"/>
    <cellStyle name="Explanatory Text" xfId="1716" builtinId="53" customBuiltin="1"/>
    <cellStyle name="Explanatory Text 10" xfId="1717" xr:uid="{00000000-0005-0000-0000-0000B4060000}"/>
    <cellStyle name="Explanatory Text 10 2" xfId="1718" xr:uid="{00000000-0005-0000-0000-0000B5060000}"/>
    <cellStyle name="Explanatory Text 10 3" xfId="1719" xr:uid="{00000000-0005-0000-0000-0000B6060000}"/>
    <cellStyle name="Explanatory Text 11" xfId="1720" xr:uid="{00000000-0005-0000-0000-0000B7060000}"/>
    <cellStyle name="Explanatory Text 12" xfId="1721" xr:uid="{00000000-0005-0000-0000-0000B8060000}"/>
    <cellStyle name="Explanatory Text 13" xfId="1722" xr:uid="{00000000-0005-0000-0000-0000B9060000}"/>
    <cellStyle name="Explanatory Text 14" xfId="1723" xr:uid="{00000000-0005-0000-0000-0000BA060000}"/>
    <cellStyle name="Explanatory Text 2" xfId="1724" xr:uid="{00000000-0005-0000-0000-0000BB060000}"/>
    <cellStyle name="Explanatory Text 2 2" xfId="1725" xr:uid="{00000000-0005-0000-0000-0000BC060000}"/>
    <cellStyle name="Explanatory Text 2 2 2" xfId="1726" xr:uid="{00000000-0005-0000-0000-0000BD060000}"/>
    <cellStyle name="Explanatory Text 2 2 3" xfId="1727" xr:uid="{00000000-0005-0000-0000-0000BE060000}"/>
    <cellStyle name="Explanatory Text 2 2 4" xfId="1728" xr:uid="{00000000-0005-0000-0000-0000BF060000}"/>
    <cellStyle name="Explanatory Text 2 2 5" xfId="1729" xr:uid="{00000000-0005-0000-0000-0000C0060000}"/>
    <cellStyle name="Explanatory Text 2 3" xfId="1730" xr:uid="{00000000-0005-0000-0000-0000C1060000}"/>
    <cellStyle name="Explanatory Text 2 3 2" xfId="1731" xr:uid="{00000000-0005-0000-0000-0000C2060000}"/>
    <cellStyle name="Explanatory Text 2 3 3" xfId="1732" xr:uid="{00000000-0005-0000-0000-0000C3060000}"/>
    <cellStyle name="Explanatory Text 2 4" xfId="1733" xr:uid="{00000000-0005-0000-0000-0000C4060000}"/>
    <cellStyle name="Explanatory Text 2 5" xfId="1734" xr:uid="{00000000-0005-0000-0000-0000C5060000}"/>
    <cellStyle name="Explanatory Text 3" xfId="1735" xr:uid="{00000000-0005-0000-0000-0000C6060000}"/>
    <cellStyle name="Explanatory Text 3 2" xfId="1736" xr:uid="{00000000-0005-0000-0000-0000C7060000}"/>
    <cellStyle name="Explanatory Text 3 3" xfId="1737" xr:uid="{00000000-0005-0000-0000-0000C8060000}"/>
    <cellStyle name="Explanatory Text 3 4" xfId="1738" xr:uid="{00000000-0005-0000-0000-0000C9060000}"/>
    <cellStyle name="Explanatory Text 4" xfId="1739" xr:uid="{00000000-0005-0000-0000-0000CA060000}"/>
    <cellStyle name="Explanatory Text 4 2" xfId="1740" xr:uid="{00000000-0005-0000-0000-0000CB060000}"/>
    <cellStyle name="Explanatory Text 4 3" xfId="1741" xr:uid="{00000000-0005-0000-0000-0000CC060000}"/>
    <cellStyle name="Explanatory Text 4 4" xfId="1742" xr:uid="{00000000-0005-0000-0000-0000CD060000}"/>
    <cellStyle name="Explanatory Text 5" xfId="1743" xr:uid="{00000000-0005-0000-0000-0000CE060000}"/>
    <cellStyle name="Explanatory Text 5 2" xfId="1744" xr:uid="{00000000-0005-0000-0000-0000CF060000}"/>
    <cellStyle name="Explanatory Text 5 2 2" xfId="1745" xr:uid="{00000000-0005-0000-0000-0000D0060000}"/>
    <cellStyle name="Explanatory Text 5 2 3" xfId="1746" xr:uid="{00000000-0005-0000-0000-0000D1060000}"/>
    <cellStyle name="Explanatory Text 5 2 4" xfId="1747" xr:uid="{00000000-0005-0000-0000-0000D2060000}"/>
    <cellStyle name="Explanatory Text 5 3" xfId="1748" xr:uid="{00000000-0005-0000-0000-0000D3060000}"/>
    <cellStyle name="Explanatory Text 5 3 2" xfId="1749" xr:uid="{00000000-0005-0000-0000-0000D4060000}"/>
    <cellStyle name="Explanatory Text 5 3 3" xfId="1750" xr:uid="{00000000-0005-0000-0000-0000D5060000}"/>
    <cellStyle name="Explanatory Text 5 4" xfId="1751" xr:uid="{00000000-0005-0000-0000-0000D6060000}"/>
    <cellStyle name="Explanatory Text 5 4 2" xfId="1752" xr:uid="{00000000-0005-0000-0000-0000D7060000}"/>
    <cellStyle name="Explanatory Text 5 4 2 2" xfId="1753" xr:uid="{00000000-0005-0000-0000-0000D8060000}"/>
    <cellStyle name="Explanatory Text 5 4 3" xfId="1754" xr:uid="{00000000-0005-0000-0000-0000D9060000}"/>
    <cellStyle name="Explanatory Text 5 4 3 2" xfId="1755" xr:uid="{00000000-0005-0000-0000-0000DA060000}"/>
    <cellStyle name="Explanatory Text 6" xfId="1756" xr:uid="{00000000-0005-0000-0000-0000DB060000}"/>
    <cellStyle name="Explanatory Text 6 2" xfId="1757" xr:uid="{00000000-0005-0000-0000-0000DC060000}"/>
    <cellStyle name="Explanatory Text 6 3" xfId="1758" xr:uid="{00000000-0005-0000-0000-0000DD060000}"/>
    <cellStyle name="Explanatory Text 7" xfId="1759" xr:uid="{00000000-0005-0000-0000-0000DE060000}"/>
    <cellStyle name="Explanatory Text 7 2" xfId="1760" xr:uid="{00000000-0005-0000-0000-0000DF060000}"/>
    <cellStyle name="Explanatory Text 8" xfId="1761" xr:uid="{00000000-0005-0000-0000-0000E0060000}"/>
    <cellStyle name="Explanatory Text 9" xfId="1762" xr:uid="{00000000-0005-0000-0000-0000E1060000}"/>
    <cellStyle name="Explanatory Text 9 2" xfId="1763" xr:uid="{00000000-0005-0000-0000-0000E2060000}"/>
    <cellStyle name="Explanatory Text 9 2 2" xfId="1764" xr:uid="{00000000-0005-0000-0000-0000E3060000}"/>
    <cellStyle name="Explanatory Text 9 3" xfId="1765" xr:uid="{00000000-0005-0000-0000-0000E4060000}"/>
    <cellStyle name="Explanatory Text 9 3 2" xfId="1766" xr:uid="{00000000-0005-0000-0000-0000E5060000}"/>
    <cellStyle name="Good" xfId="1767" builtinId="26" customBuiltin="1"/>
    <cellStyle name="Good 10" xfId="1768" xr:uid="{00000000-0005-0000-0000-0000E7060000}"/>
    <cellStyle name="Good 10 2" xfId="1769" xr:uid="{00000000-0005-0000-0000-0000E8060000}"/>
    <cellStyle name="Good 10 3" xfId="1770" xr:uid="{00000000-0005-0000-0000-0000E9060000}"/>
    <cellStyle name="Good 11" xfId="1771" xr:uid="{00000000-0005-0000-0000-0000EA060000}"/>
    <cellStyle name="Good 12" xfId="1772" xr:uid="{00000000-0005-0000-0000-0000EB060000}"/>
    <cellStyle name="Good 13" xfId="1773" xr:uid="{00000000-0005-0000-0000-0000EC060000}"/>
    <cellStyle name="Good 14" xfId="1774" xr:uid="{00000000-0005-0000-0000-0000ED060000}"/>
    <cellStyle name="Good 2" xfId="1775" xr:uid="{00000000-0005-0000-0000-0000EE060000}"/>
    <cellStyle name="Good 2 2" xfId="1776" xr:uid="{00000000-0005-0000-0000-0000EF060000}"/>
    <cellStyle name="Good 2 2 2" xfId="1777" xr:uid="{00000000-0005-0000-0000-0000F0060000}"/>
    <cellStyle name="Good 2 2 3" xfId="1778" xr:uid="{00000000-0005-0000-0000-0000F1060000}"/>
    <cellStyle name="Good 2 2 4" xfId="1779" xr:uid="{00000000-0005-0000-0000-0000F2060000}"/>
    <cellStyle name="Good 2 2 5" xfId="1780" xr:uid="{00000000-0005-0000-0000-0000F3060000}"/>
    <cellStyle name="Good 2 3" xfId="1781" xr:uid="{00000000-0005-0000-0000-0000F4060000}"/>
    <cellStyle name="Good 2 3 2" xfId="1782" xr:uid="{00000000-0005-0000-0000-0000F5060000}"/>
    <cellStyle name="Good 2 3 3" xfId="1783" xr:uid="{00000000-0005-0000-0000-0000F6060000}"/>
    <cellStyle name="Good 2 4" xfId="1784" xr:uid="{00000000-0005-0000-0000-0000F7060000}"/>
    <cellStyle name="Good 2 5" xfId="1785" xr:uid="{00000000-0005-0000-0000-0000F8060000}"/>
    <cellStyle name="Good 3" xfId="1786" xr:uid="{00000000-0005-0000-0000-0000F9060000}"/>
    <cellStyle name="Good 3 2" xfId="1787" xr:uid="{00000000-0005-0000-0000-0000FA060000}"/>
    <cellStyle name="Good 3 3" xfId="1788" xr:uid="{00000000-0005-0000-0000-0000FB060000}"/>
    <cellStyle name="Good 3 4" xfId="1789" xr:uid="{00000000-0005-0000-0000-0000FC060000}"/>
    <cellStyle name="Good 4" xfId="1790" xr:uid="{00000000-0005-0000-0000-0000FD060000}"/>
    <cellStyle name="Good 4 2" xfId="1791" xr:uid="{00000000-0005-0000-0000-0000FE060000}"/>
    <cellStyle name="Good 4 3" xfId="1792" xr:uid="{00000000-0005-0000-0000-0000FF060000}"/>
    <cellStyle name="Good 4 4" xfId="1793" xr:uid="{00000000-0005-0000-0000-000000070000}"/>
    <cellStyle name="Good 5" xfId="1794" xr:uid="{00000000-0005-0000-0000-000001070000}"/>
    <cellStyle name="Good 5 2" xfId="1795" xr:uid="{00000000-0005-0000-0000-000002070000}"/>
    <cellStyle name="Good 5 2 2" xfId="1796" xr:uid="{00000000-0005-0000-0000-000003070000}"/>
    <cellStyle name="Good 5 2 3" xfId="1797" xr:uid="{00000000-0005-0000-0000-000004070000}"/>
    <cellStyle name="Good 5 2 4" xfId="1798" xr:uid="{00000000-0005-0000-0000-000005070000}"/>
    <cellStyle name="Good 5 3" xfId="1799" xr:uid="{00000000-0005-0000-0000-000006070000}"/>
    <cellStyle name="Good 5 3 2" xfId="1800" xr:uid="{00000000-0005-0000-0000-000007070000}"/>
    <cellStyle name="Good 5 3 3" xfId="1801" xr:uid="{00000000-0005-0000-0000-000008070000}"/>
    <cellStyle name="Good 5 4" xfId="1802" xr:uid="{00000000-0005-0000-0000-000009070000}"/>
    <cellStyle name="Good 5 4 2" xfId="1803" xr:uid="{00000000-0005-0000-0000-00000A070000}"/>
    <cellStyle name="Good 5 4 2 2" xfId="1804" xr:uid="{00000000-0005-0000-0000-00000B070000}"/>
    <cellStyle name="Good 5 4 3" xfId="1805" xr:uid="{00000000-0005-0000-0000-00000C070000}"/>
    <cellStyle name="Good 5 4 3 2" xfId="1806" xr:uid="{00000000-0005-0000-0000-00000D070000}"/>
    <cellStyle name="Good 6" xfId="1807" xr:uid="{00000000-0005-0000-0000-00000E070000}"/>
    <cellStyle name="Good 6 2" xfId="1808" xr:uid="{00000000-0005-0000-0000-00000F070000}"/>
    <cellStyle name="Good 6 3" xfId="1809" xr:uid="{00000000-0005-0000-0000-000010070000}"/>
    <cellStyle name="Good 7" xfId="1810" xr:uid="{00000000-0005-0000-0000-000011070000}"/>
    <cellStyle name="Good 7 2" xfId="1811" xr:uid="{00000000-0005-0000-0000-000012070000}"/>
    <cellStyle name="Good 8" xfId="1812" xr:uid="{00000000-0005-0000-0000-000013070000}"/>
    <cellStyle name="Good 9" xfId="1813" xr:uid="{00000000-0005-0000-0000-000014070000}"/>
    <cellStyle name="Good 9 2" xfId="1814" xr:uid="{00000000-0005-0000-0000-000015070000}"/>
    <cellStyle name="Good 9 2 2" xfId="1815" xr:uid="{00000000-0005-0000-0000-000016070000}"/>
    <cellStyle name="Good 9 3" xfId="1816" xr:uid="{00000000-0005-0000-0000-000017070000}"/>
    <cellStyle name="Good 9 3 2" xfId="1817" xr:uid="{00000000-0005-0000-0000-000018070000}"/>
    <cellStyle name="Heading 1" xfId="1818" builtinId="16" customBuiltin="1"/>
    <cellStyle name="Heading 1 10" xfId="1819" xr:uid="{00000000-0005-0000-0000-00001A070000}"/>
    <cellStyle name="Heading 1 10 2" xfId="1820" xr:uid="{00000000-0005-0000-0000-00001B070000}"/>
    <cellStyle name="Heading 1 10 3" xfId="1821" xr:uid="{00000000-0005-0000-0000-00001C070000}"/>
    <cellStyle name="Heading 1 11" xfId="1822" xr:uid="{00000000-0005-0000-0000-00001D070000}"/>
    <cellStyle name="Heading 1 12" xfId="1823" xr:uid="{00000000-0005-0000-0000-00001E070000}"/>
    <cellStyle name="Heading 1 13" xfId="1824" xr:uid="{00000000-0005-0000-0000-00001F070000}"/>
    <cellStyle name="Heading 1 14" xfId="1825" xr:uid="{00000000-0005-0000-0000-000020070000}"/>
    <cellStyle name="Heading 1 2" xfId="1826" xr:uid="{00000000-0005-0000-0000-000021070000}"/>
    <cellStyle name="Heading 1 2 2" xfId="1827" xr:uid="{00000000-0005-0000-0000-000022070000}"/>
    <cellStyle name="Heading 1 2 2 2" xfId="1828" xr:uid="{00000000-0005-0000-0000-000023070000}"/>
    <cellStyle name="Heading 1 2 2 3" xfId="1829" xr:uid="{00000000-0005-0000-0000-000024070000}"/>
    <cellStyle name="Heading 1 2 2 4" xfId="1830" xr:uid="{00000000-0005-0000-0000-000025070000}"/>
    <cellStyle name="Heading 1 2 2 5" xfId="1831" xr:uid="{00000000-0005-0000-0000-000026070000}"/>
    <cellStyle name="Heading 1 2 3" xfId="1832" xr:uid="{00000000-0005-0000-0000-000027070000}"/>
    <cellStyle name="Heading 1 2 3 2" xfId="1833" xr:uid="{00000000-0005-0000-0000-000028070000}"/>
    <cellStyle name="Heading 1 2 3 3" xfId="1834" xr:uid="{00000000-0005-0000-0000-000029070000}"/>
    <cellStyle name="Heading 1 2 4" xfId="1835" xr:uid="{00000000-0005-0000-0000-00002A070000}"/>
    <cellStyle name="Heading 1 2 5" xfId="1836" xr:uid="{00000000-0005-0000-0000-00002B070000}"/>
    <cellStyle name="Heading 1 3" xfId="1837" xr:uid="{00000000-0005-0000-0000-00002C070000}"/>
    <cellStyle name="Heading 1 3 2" xfId="1838" xr:uid="{00000000-0005-0000-0000-00002D070000}"/>
    <cellStyle name="Heading 1 3 3" xfId="1839" xr:uid="{00000000-0005-0000-0000-00002E070000}"/>
    <cellStyle name="Heading 1 3 4" xfId="1840" xr:uid="{00000000-0005-0000-0000-00002F070000}"/>
    <cellStyle name="Heading 1 4" xfId="1841" xr:uid="{00000000-0005-0000-0000-000030070000}"/>
    <cellStyle name="Heading 1 4 2" xfId="1842" xr:uid="{00000000-0005-0000-0000-000031070000}"/>
    <cellStyle name="Heading 1 4 3" xfId="1843" xr:uid="{00000000-0005-0000-0000-000032070000}"/>
    <cellStyle name="Heading 1 4 4" xfId="1844" xr:uid="{00000000-0005-0000-0000-000033070000}"/>
    <cellStyle name="Heading 1 5" xfId="1845" xr:uid="{00000000-0005-0000-0000-000034070000}"/>
    <cellStyle name="Heading 1 5 2" xfId="1846" xr:uid="{00000000-0005-0000-0000-000035070000}"/>
    <cellStyle name="Heading 1 5 2 2" xfId="1847" xr:uid="{00000000-0005-0000-0000-000036070000}"/>
    <cellStyle name="Heading 1 5 2 3" xfId="1848" xr:uid="{00000000-0005-0000-0000-000037070000}"/>
    <cellStyle name="Heading 1 5 2 4" xfId="1849" xr:uid="{00000000-0005-0000-0000-000038070000}"/>
    <cellStyle name="Heading 1 5 3" xfId="1850" xr:uid="{00000000-0005-0000-0000-000039070000}"/>
    <cellStyle name="Heading 1 5 3 2" xfId="1851" xr:uid="{00000000-0005-0000-0000-00003A070000}"/>
    <cellStyle name="Heading 1 5 3 3" xfId="1852" xr:uid="{00000000-0005-0000-0000-00003B070000}"/>
    <cellStyle name="Heading 1 5 4" xfId="1853" xr:uid="{00000000-0005-0000-0000-00003C070000}"/>
    <cellStyle name="Heading 1 5 4 2" xfId="1854" xr:uid="{00000000-0005-0000-0000-00003D070000}"/>
    <cellStyle name="Heading 1 5 4 2 2" xfId="1855" xr:uid="{00000000-0005-0000-0000-00003E070000}"/>
    <cellStyle name="Heading 1 5 4 3" xfId="1856" xr:uid="{00000000-0005-0000-0000-00003F070000}"/>
    <cellStyle name="Heading 1 5 4 3 2" xfId="1857" xr:uid="{00000000-0005-0000-0000-000040070000}"/>
    <cellStyle name="Heading 1 6" xfId="1858" xr:uid="{00000000-0005-0000-0000-000041070000}"/>
    <cellStyle name="Heading 1 6 2" xfId="1859" xr:uid="{00000000-0005-0000-0000-000042070000}"/>
    <cellStyle name="Heading 1 6 3" xfId="1860" xr:uid="{00000000-0005-0000-0000-000043070000}"/>
    <cellStyle name="Heading 1 7" xfId="1861" xr:uid="{00000000-0005-0000-0000-000044070000}"/>
    <cellStyle name="Heading 1 7 2" xfId="1862" xr:uid="{00000000-0005-0000-0000-000045070000}"/>
    <cellStyle name="Heading 1 8" xfId="1863" xr:uid="{00000000-0005-0000-0000-000046070000}"/>
    <cellStyle name="Heading 1 9" xfId="1864" xr:uid="{00000000-0005-0000-0000-000047070000}"/>
    <cellStyle name="Heading 1 9 2" xfId="1865" xr:uid="{00000000-0005-0000-0000-000048070000}"/>
    <cellStyle name="Heading 1 9 2 2" xfId="1866" xr:uid="{00000000-0005-0000-0000-000049070000}"/>
    <cellStyle name="Heading 1 9 3" xfId="1867" xr:uid="{00000000-0005-0000-0000-00004A070000}"/>
    <cellStyle name="Heading 1 9 3 2" xfId="1868" xr:uid="{00000000-0005-0000-0000-00004B070000}"/>
    <cellStyle name="Heading 2" xfId="1869" builtinId="17" customBuiltin="1"/>
    <cellStyle name="Heading 2 10" xfId="1870" xr:uid="{00000000-0005-0000-0000-00004D070000}"/>
    <cellStyle name="Heading 2 10 2" xfId="1871" xr:uid="{00000000-0005-0000-0000-00004E070000}"/>
    <cellStyle name="Heading 2 10 3" xfId="1872" xr:uid="{00000000-0005-0000-0000-00004F070000}"/>
    <cellStyle name="Heading 2 11" xfId="1873" xr:uid="{00000000-0005-0000-0000-000050070000}"/>
    <cellStyle name="Heading 2 12" xfId="1874" xr:uid="{00000000-0005-0000-0000-000051070000}"/>
    <cellStyle name="Heading 2 13" xfId="1875" xr:uid="{00000000-0005-0000-0000-000052070000}"/>
    <cellStyle name="Heading 2 14" xfId="1876" xr:uid="{00000000-0005-0000-0000-000053070000}"/>
    <cellStyle name="Heading 2 2" xfId="1877" xr:uid="{00000000-0005-0000-0000-000054070000}"/>
    <cellStyle name="Heading 2 2 2" xfId="1878" xr:uid="{00000000-0005-0000-0000-000055070000}"/>
    <cellStyle name="Heading 2 2 2 2" xfId="1879" xr:uid="{00000000-0005-0000-0000-000056070000}"/>
    <cellStyle name="Heading 2 2 2 3" xfId="1880" xr:uid="{00000000-0005-0000-0000-000057070000}"/>
    <cellStyle name="Heading 2 2 2 4" xfId="1881" xr:uid="{00000000-0005-0000-0000-000058070000}"/>
    <cellStyle name="Heading 2 2 2 5" xfId="1882" xr:uid="{00000000-0005-0000-0000-000059070000}"/>
    <cellStyle name="Heading 2 2 3" xfId="1883" xr:uid="{00000000-0005-0000-0000-00005A070000}"/>
    <cellStyle name="Heading 2 2 3 2" xfId="1884" xr:uid="{00000000-0005-0000-0000-00005B070000}"/>
    <cellStyle name="Heading 2 2 3 3" xfId="1885" xr:uid="{00000000-0005-0000-0000-00005C070000}"/>
    <cellStyle name="Heading 2 2 4" xfId="1886" xr:uid="{00000000-0005-0000-0000-00005D070000}"/>
    <cellStyle name="Heading 2 2 5" xfId="1887" xr:uid="{00000000-0005-0000-0000-00005E070000}"/>
    <cellStyle name="Heading 2 3" xfId="1888" xr:uid="{00000000-0005-0000-0000-00005F070000}"/>
    <cellStyle name="Heading 2 3 2" xfId="1889" xr:uid="{00000000-0005-0000-0000-000060070000}"/>
    <cellStyle name="Heading 2 3 3" xfId="1890" xr:uid="{00000000-0005-0000-0000-000061070000}"/>
    <cellStyle name="Heading 2 3 4" xfId="1891" xr:uid="{00000000-0005-0000-0000-000062070000}"/>
    <cellStyle name="Heading 2 4" xfId="1892" xr:uid="{00000000-0005-0000-0000-000063070000}"/>
    <cellStyle name="Heading 2 4 2" xfId="1893" xr:uid="{00000000-0005-0000-0000-000064070000}"/>
    <cellStyle name="Heading 2 4 3" xfId="1894" xr:uid="{00000000-0005-0000-0000-000065070000}"/>
    <cellStyle name="Heading 2 4 4" xfId="1895" xr:uid="{00000000-0005-0000-0000-000066070000}"/>
    <cellStyle name="Heading 2 5" xfId="1896" xr:uid="{00000000-0005-0000-0000-000067070000}"/>
    <cellStyle name="Heading 2 5 2" xfId="1897" xr:uid="{00000000-0005-0000-0000-000068070000}"/>
    <cellStyle name="Heading 2 5 2 2" xfId="1898" xr:uid="{00000000-0005-0000-0000-000069070000}"/>
    <cellStyle name="Heading 2 5 2 3" xfId="1899" xr:uid="{00000000-0005-0000-0000-00006A070000}"/>
    <cellStyle name="Heading 2 5 2 4" xfId="1900" xr:uid="{00000000-0005-0000-0000-00006B070000}"/>
    <cellStyle name="Heading 2 5 3" xfId="1901" xr:uid="{00000000-0005-0000-0000-00006C070000}"/>
    <cellStyle name="Heading 2 5 3 2" xfId="1902" xr:uid="{00000000-0005-0000-0000-00006D070000}"/>
    <cellStyle name="Heading 2 5 3 3" xfId="1903" xr:uid="{00000000-0005-0000-0000-00006E070000}"/>
    <cellStyle name="Heading 2 5 4" xfId="1904" xr:uid="{00000000-0005-0000-0000-00006F070000}"/>
    <cellStyle name="Heading 2 5 4 2" xfId="1905" xr:uid="{00000000-0005-0000-0000-000070070000}"/>
    <cellStyle name="Heading 2 5 4 2 2" xfId="1906" xr:uid="{00000000-0005-0000-0000-000071070000}"/>
    <cellStyle name="Heading 2 5 4 3" xfId="1907" xr:uid="{00000000-0005-0000-0000-000072070000}"/>
    <cellStyle name="Heading 2 5 4 3 2" xfId="1908" xr:uid="{00000000-0005-0000-0000-000073070000}"/>
    <cellStyle name="Heading 2 6" xfId="1909" xr:uid="{00000000-0005-0000-0000-000074070000}"/>
    <cellStyle name="Heading 2 6 2" xfId="1910" xr:uid="{00000000-0005-0000-0000-000075070000}"/>
    <cellStyle name="Heading 2 6 3" xfId="1911" xr:uid="{00000000-0005-0000-0000-000076070000}"/>
    <cellStyle name="Heading 2 7" xfId="1912" xr:uid="{00000000-0005-0000-0000-000077070000}"/>
    <cellStyle name="Heading 2 7 2" xfId="1913" xr:uid="{00000000-0005-0000-0000-000078070000}"/>
    <cellStyle name="Heading 2 8" xfId="1914" xr:uid="{00000000-0005-0000-0000-000079070000}"/>
    <cellStyle name="Heading 2 9" xfId="1915" xr:uid="{00000000-0005-0000-0000-00007A070000}"/>
    <cellStyle name="Heading 2 9 2" xfId="1916" xr:uid="{00000000-0005-0000-0000-00007B070000}"/>
    <cellStyle name="Heading 2 9 2 2" xfId="1917" xr:uid="{00000000-0005-0000-0000-00007C070000}"/>
    <cellStyle name="Heading 2 9 3" xfId="1918" xr:uid="{00000000-0005-0000-0000-00007D070000}"/>
    <cellStyle name="Heading 2 9 3 2" xfId="1919" xr:uid="{00000000-0005-0000-0000-00007E070000}"/>
    <cellStyle name="Heading 3" xfId="1920" builtinId="18" customBuiltin="1"/>
    <cellStyle name="Heading 3 10" xfId="1921" xr:uid="{00000000-0005-0000-0000-000080070000}"/>
    <cellStyle name="Heading 3 10 2" xfId="1922" xr:uid="{00000000-0005-0000-0000-000081070000}"/>
    <cellStyle name="Heading 3 10 3" xfId="1923" xr:uid="{00000000-0005-0000-0000-000082070000}"/>
    <cellStyle name="Heading 3 11" xfId="1924" xr:uid="{00000000-0005-0000-0000-000083070000}"/>
    <cellStyle name="Heading 3 12" xfId="1925" xr:uid="{00000000-0005-0000-0000-000084070000}"/>
    <cellStyle name="Heading 3 13" xfId="1926" xr:uid="{00000000-0005-0000-0000-000085070000}"/>
    <cellStyle name="Heading 3 14" xfId="1927" xr:uid="{00000000-0005-0000-0000-000086070000}"/>
    <cellStyle name="Heading 3 2" xfId="1928" xr:uid="{00000000-0005-0000-0000-000087070000}"/>
    <cellStyle name="Heading 3 2 2" xfId="1929" xr:uid="{00000000-0005-0000-0000-000088070000}"/>
    <cellStyle name="Heading 3 2 2 2" xfId="1930" xr:uid="{00000000-0005-0000-0000-000089070000}"/>
    <cellStyle name="Heading 3 2 2 3" xfId="1931" xr:uid="{00000000-0005-0000-0000-00008A070000}"/>
    <cellStyle name="Heading 3 2 2 4" xfId="1932" xr:uid="{00000000-0005-0000-0000-00008B070000}"/>
    <cellStyle name="Heading 3 2 2 5" xfId="1933" xr:uid="{00000000-0005-0000-0000-00008C070000}"/>
    <cellStyle name="Heading 3 2 3" xfId="1934" xr:uid="{00000000-0005-0000-0000-00008D070000}"/>
    <cellStyle name="Heading 3 2 3 2" xfId="1935" xr:uid="{00000000-0005-0000-0000-00008E070000}"/>
    <cellStyle name="Heading 3 2 3 3" xfId="1936" xr:uid="{00000000-0005-0000-0000-00008F070000}"/>
    <cellStyle name="Heading 3 2 4" xfId="1937" xr:uid="{00000000-0005-0000-0000-000090070000}"/>
    <cellStyle name="Heading 3 2 5" xfId="1938" xr:uid="{00000000-0005-0000-0000-000091070000}"/>
    <cellStyle name="Heading 3 3" xfId="1939" xr:uid="{00000000-0005-0000-0000-000092070000}"/>
    <cellStyle name="Heading 3 3 2" xfId="1940" xr:uid="{00000000-0005-0000-0000-000093070000}"/>
    <cellStyle name="Heading 3 3 3" xfId="1941" xr:uid="{00000000-0005-0000-0000-000094070000}"/>
    <cellStyle name="Heading 3 3 4" xfId="1942" xr:uid="{00000000-0005-0000-0000-000095070000}"/>
    <cellStyle name="Heading 3 4" xfId="1943" xr:uid="{00000000-0005-0000-0000-000096070000}"/>
    <cellStyle name="Heading 3 4 2" xfId="1944" xr:uid="{00000000-0005-0000-0000-000097070000}"/>
    <cellStyle name="Heading 3 4 3" xfId="1945" xr:uid="{00000000-0005-0000-0000-000098070000}"/>
    <cellStyle name="Heading 3 4 4" xfId="1946" xr:uid="{00000000-0005-0000-0000-000099070000}"/>
    <cellStyle name="Heading 3 5" xfId="1947" xr:uid="{00000000-0005-0000-0000-00009A070000}"/>
    <cellStyle name="Heading 3 5 2" xfId="1948" xr:uid="{00000000-0005-0000-0000-00009B070000}"/>
    <cellStyle name="Heading 3 5 2 2" xfId="1949" xr:uid="{00000000-0005-0000-0000-00009C070000}"/>
    <cellStyle name="Heading 3 5 2 3" xfId="1950" xr:uid="{00000000-0005-0000-0000-00009D070000}"/>
    <cellStyle name="Heading 3 5 2 4" xfId="1951" xr:uid="{00000000-0005-0000-0000-00009E070000}"/>
    <cellStyle name="Heading 3 5 3" xfId="1952" xr:uid="{00000000-0005-0000-0000-00009F070000}"/>
    <cellStyle name="Heading 3 5 3 2" xfId="1953" xr:uid="{00000000-0005-0000-0000-0000A0070000}"/>
    <cellStyle name="Heading 3 5 3 3" xfId="1954" xr:uid="{00000000-0005-0000-0000-0000A1070000}"/>
    <cellStyle name="Heading 3 5 4" xfId="1955" xr:uid="{00000000-0005-0000-0000-0000A2070000}"/>
    <cellStyle name="Heading 3 5 4 2" xfId="1956" xr:uid="{00000000-0005-0000-0000-0000A3070000}"/>
    <cellStyle name="Heading 3 5 4 2 2" xfId="1957" xr:uid="{00000000-0005-0000-0000-0000A4070000}"/>
    <cellStyle name="Heading 3 5 4 3" xfId="1958" xr:uid="{00000000-0005-0000-0000-0000A5070000}"/>
    <cellStyle name="Heading 3 5 4 3 2" xfId="1959" xr:uid="{00000000-0005-0000-0000-0000A6070000}"/>
    <cellStyle name="Heading 3 6" xfId="1960" xr:uid="{00000000-0005-0000-0000-0000A7070000}"/>
    <cellStyle name="Heading 3 6 2" xfId="1961" xr:uid="{00000000-0005-0000-0000-0000A8070000}"/>
    <cellStyle name="Heading 3 6 3" xfId="1962" xr:uid="{00000000-0005-0000-0000-0000A9070000}"/>
    <cellStyle name="Heading 3 7" xfId="1963" xr:uid="{00000000-0005-0000-0000-0000AA070000}"/>
    <cellStyle name="Heading 3 7 2" xfId="1964" xr:uid="{00000000-0005-0000-0000-0000AB070000}"/>
    <cellStyle name="Heading 3 8" xfId="1965" xr:uid="{00000000-0005-0000-0000-0000AC070000}"/>
    <cellStyle name="Heading 3 9" xfId="1966" xr:uid="{00000000-0005-0000-0000-0000AD070000}"/>
    <cellStyle name="Heading 3 9 2" xfId="1967" xr:uid="{00000000-0005-0000-0000-0000AE070000}"/>
    <cellStyle name="Heading 3 9 2 2" xfId="1968" xr:uid="{00000000-0005-0000-0000-0000AF070000}"/>
    <cellStyle name="Heading 3 9 3" xfId="1969" xr:uid="{00000000-0005-0000-0000-0000B0070000}"/>
    <cellStyle name="Heading 3 9 3 2" xfId="1970" xr:uid="{00000000-0005-0000-0000-0000B1070000}"/>
    <cellStyle name="Heading 4" xfId="1971" builtinId="19" customBuiltin="1"/>
    <cellStyle name="Heading 4 10" xfId="1972" xr:uid="{00000000-0005-0000-0000-0000B3070000}"/>
    <cellStyle name="Heading 4 10 2" xfId="1973" xr:uid="{00000000-0005-0000-0000-0000B4070000}"/>
    <cellStyle name="Heading 4 10 3" xfId="1974" xr:uid="{00000000-0005-0000-0000-0000B5070000}"/>
    <cellStyle name="Heading 4 11" xfId="1975" xr:uid="{00000000-0005-0000-0000-0000B6070000}"/>
    <cellStyle name="Heading 4 12" xfId="1976" xr:uid="{00000000-0005-0000-0000-0000B7070000}"/>
    <cellStyle name="Heading 4 13" xfId="1977" xr:uid="{00000000-0005-0000-0000-0000B8070000}"/>
    <cellStyle name="Heading 4 14" xfId="1978" xr:uid="{00000000-0005-0000-0000-0000B9070000}"/>
    <cellStyle name="Heading 4 2" xfId="1979" xr:uid="{00000000-0005-0000-0000-0000BA070000}"/>
    <cellStyle name="Heading 4 2 2" xfId="1980" xr:uid="{00000000-0005-0000-0000-0000BB070000}"/>
    <cellStyle name="Heading 4 2 2 2" xfId="1981" xr:uid="{00000000-0005-0000-0000-0000BC070000}"/>
    <cellStyle name="Heading 4 2 2 3" xfId="1982" xr:uid="{00000000-0005-0000-0000-0000BD070000}"/>
    <cellStyle name="Heading 4 2 2 4" xfId="1983" xr:uid="{00000000-0005-0000-0000-0000BE070000}"/>
    <cellStyle name="Heading 4 2 2 5" xfId="1984" xr:uid="{00000000-0005-0000-0000-0000BF070000}"/>
    <cellStyle name="Heading 4 2 3" xfId="1985" xr:uid="{00000000-0005-0000-0000-0000C0070000}"/>
    <cellStyle name="Heading 4 2 3 2" xfId="1986" xr:uid="{00000000-0005-0000-0000-0000C1070000}"/>
    <cellStyle name="Heading 4 2 3 3" xfId="1987" xr:uid="{00000000-0005-0000-0000-0000C2070000}"/>
    <cellStyle name="Heading 4 2 4" xfId="1988" xr:uid="{00000000-0005-0000-0000-0000C3070000}"/>
    <cellStyle name="Heading 4 2 5" xfId="1989" xr:uid="{00000000-0005-0000-0000-0000C4070000}"/>
    <cellStyle name="Heading 4 3" xfId="1990" xr:uid="{00000000-0005-0000-0000-0000C5070000}"/>
    <cellStyle name="Heading 4 3 2" xfId="1991" xr:uid="{00000000-0005-0000-0000-0000C6070000}"/>
    <cellStyle name="Heading 4 3 3" xfId="1992" xr:uid="{00000000-0005-0000-0000-0000C7070000}"/>
    <cellStyle name="Heading 4 3 4" xfId="1993" xr:uid="{00000000-0005-0000-0000-0000C8070000}"/>
    <cellStyle name="Heading 4 4" xfId="1994" xr:uid="{00000000-0005-0000-0000-0000C9070000}"/>
    <cellStyle name="Heading 4 4 2" xfId="1995" xr:uid="{00000000-0005-0000-0000-0000CA070000}"/>
    <cellStyle name="Heading 4 4 3" xfId="1996" xr:uid="{00000000-0005-0000-0000-0000CB070000}"/>
    <cellStyle name="Heading 4 4 4" xfId="1997" xr:uid="{00000000-0005-0000-0000-0000CC070000}"/>
    <cellStyle name="Heading 4 5" xfId="1998" xr:uid="{00000000-0005-0000-0000-0000CD070000}"/>
    <cellStyle name="Heading 4 5 2" xfId="1999" xr:uid="{00000000-0005-0000-0000-0000CE070000}"/>
    <cellStyle name="Heading 4 5 2 2" xfId="2000" xr:uid="{00000000-0005-0000-0000-0000CF070000}"/>
    <cellStyle name="Heading 4 5 2 3" xfId="2001" xr:uid="{00000000-0005-0000-0000-0000D0070000}"/>
    <cellStyle name="Heading 4 5 2 4" xfId="2002" xr:uid="{00000000-0005-0000-0000-0000D1070000}"/>
    <cellStyle name="Heading 4 5 3" xfId="2003" xr:uid="{00000000-0005-0000-0000-0000D2070000}"/>
    <cellStyle name="Heading 4 5 3 2" xfId="2004" xr:uid="{00000000-0005-0000-0000-0000D3070000}"/>
    <cellStyle name="Heading 4 5 3 3" xfId="2005" xr:uid="{00000000-0005-0000-0000-0000D4070000}"/>
    <cellStyle name="Heading 4 5 4" xfId="2006" xr:uid="{00000000-0005-0000-0000-0000D5070000}"/>
    <cellStyle name="Heading 4 5 4 2" xfId="2007" xr:uid="{00000000-0005-0000-0000-0000D6070000}"/>
    <cellStyle name="Heading 4 5 4 2 2" xfId="2008" xr:uid="{00000000-0005-0000-0000-0000D7070000}"/>
    <cellStyle name="Heading 4 5 4 3" xfId="2009" xr:uid="{00000000-0005-0000-0000-0000D8070000}"/>
    <cellStyle name="Heading 4 5 4 3 2" xfId="2010" xr:uid="{00000000-0005-0000-0000-0000D9070000}"/>
    <cellStyle name="Heading 4 6" xfId="2011" xr:uid="{00000000-0005-0000-0000-0000DA070000}"/>
    <cellStyle name="Heading 4 6 2" xfId="2012" xr:uid="{00000000-0005-0000-0000-0000DB070000}"/>
    <cellStyle name="Heading 4 6 3" xfId="2013" xr:uid="{00000000-0005-0000-0000-0000DC070000}"/>
    <cellStyle name="Heading 4 7" xfId="2014" xr:uid="{00000000-0005-0000-0000-0000DD070000}"/>
    <cellStyle name="Heading 4 7 2" xfId="2015" xr:uid="{00000000-0005-0000-0000-0000DE070000}"/>
    <cellStyle name="Heading 4 8" xfId="2016" xr:uid="{00000000-0005-0000-0000-0000DF070000}"/>
    <cellStyle name="Heading 4 9" xfId="2017" xr:uid="{00000000-0005-0000-0000-0000E0070000}"/>
    <cellStyle name="Heading 4 9 2" xfId="2018" xr:uid="{00000000-0005-0000-0000-0000E1070000}"/>
    <cellStyle name="Heading 4 9 2 2" xfId="2019" xr:uid="{00000000-0005-0000-0000-0000E2070000}"/>
    <cellStyle name="Heading 4 9 3" xfId="2020" xr:uid="{00000000-0005-0000-0000-0000E3070000}"/>
    <cellStyle name="Heading 4 9 3 2" xfId="2021" xr:uid="{00000000-0005-0000-0000-0000E4070000}"/>
    <cellStyle name="Hyperlink" xfId="2022" builtinId="8"/>
    <cellStyle name="Hyperlink 2" xfId="2023" xr:uid="{00000000-0005-0000-0000-0000E6070000}"/>
    <cellStyle name="Hyperlink 3" xfId="2024" xr:uid="{00000000-0005-0000-0000-0000E7070000}"/>
    <cellStyle name="Input" xfId="2025" builtinId="20" customBuiltin="1"/>
    <cellStyle name="Input 10" xfId="2026" xr:uid="{00000000-0005-0000-0000-0000E9070000}"/>
    <cellStyle name="Input 10 2" xfId="2027" xr:uid="{00000000-0005-0000-0000-0000EA070000}"/>
    <cellStyle name="Input 10 3" xfId="2028" xr:uid="{00000000-0005-0000-0000-0000EB070000}"/>
    <cellStyle name="Input 11" xfId="2029" xr:uid="{00000000-0005-0000-0000-0000EC070000}"/>
    <cellStyle name="Input 12" xfId="2030" xr:uid="{00000000-0005-0000-0000-0000ED070000}"/>
    <cellStyle name="Input 13" xfId="2031" xr:uid="{00000000-0005-0000-0000-0000EE070000}"/>
    <cellStyle name="Input 14" xfId="2032" xr:uid="{00000000-0005-0000-0000-0000EF070000}"/>
    <cellStyle name="Input 2" xfId="2033" xr:uid="{00000000-0005-0000-0000-0000F0070000}"/>
    <cellStyle name="Input 2 2" xfId="2034" xr:uid="{00000000-0005-0000-0000-0000F1070000}"/>
    <cellStyle name="Input 2 2 2" xfId="2035" xr:uid="{00000000-0005-0000-0000-0000F2070000}"/>
    <cellStyle name="Input 2 2 3" xfId="2036" xr:uid="{00000000-0005-0000-0000-0000F3070000}"/>
    <cellStyle name="Input 2 2 4" xfId="2037" xr:uid="{00000000-0005-0000-0000-0000F4070000}"/>
    <cellStyle name="Input 2 2 5" xfId="2038" xr:uid="{00000000-0005-0000-0000-0000F5070000}"/>
    <cellStyle name="Input 2 3" xfId="2039" xr:uid="{00000000-0005-0000-0000-0000F6070000}"/>
    <cellStyle name="Input 2 3 2" xfId="2040" xr:uid="{00000000-0005-0000-0000-0000F7070000}"/>
    <cellStyle name="Input 2 3 3" xfId="2041" xr:uid="{00000000-0005-0000-0000-0000F8070000}"/>
    <cellStyle name="Input 2 4" xfId="2042" xr:uid="{00000000-0005-0000-0000-0000F9070000}"/>
    <cellStyle name="Input 2 5" xfId="2043" xr:uid="{00000000-0005-0000-0000-0000FA070000}"/>
    <cellStyle name="Input 3" xfId="2044" xr:uid="{00000000-0005-0000-0000-0000FB070000}"/>
    <cellStyle name="Input 3 2" xfId="2045" xr:uid="{00000000-0005-0000-0000-0000FC070000}"/>
    <cellStyle name="Input 3 3" xfId="2046" xr:uid="{00000000-0005-0000-0000-0000FD070000}"/>
    <cellStyle name="Input 3 4" xfId="2047" xr:uid="{00000000-0005-0000-0000-0000FE070000}"/>
    <cellStyle name="Input 4" xfId="2048" xr:uid="{00000000-0005-0000-0000-0000FF070000}"/>
    <cellStyle name="Input 4 2" xfId="2049" xr:uid="{00000000-0005-0000-0000-000000080000}"/>
    <cellStyle name="Input 4 3" xfId="2050" xr:uid="{00000000-0005-0000-0000-000001080000}"/>
    <cellStyle name="Input 4 4" xfId="2051" xr:uid="{00000000-0005-0000-0000-000002080000}"/>
    <cellStyle name="Input 5" xfId="2052" xr:uid="{00000000-0005-0000-0000-000003080000}"/>
    <cellStyle name="Input 5 2" xfId="2053" xr:uid="{00000000-0005-0000-0000-000004080000}"/>
    <cellStyle name="Input 5 2 2" xfId="2054" xr:uid="{00000000-0005-0000-0000-000005080000}"/>
    <cellStyle name="Input 5 2 3" xfId="2055" xr:uid="{00000000-0005-0000-0000-000006080000}"/>
    <cellStyle name="Input 5 2 4" xfId="2056" xr:uid="{00000000-0005-0000-0000-000007080000}"/>
    <cellStyle name="Input 5 3" xfId="2057" xr:uid="{00000000-0005-0000-0000-000008080000}"/>
    <cellStyle name="Input 5 3 2" xfId="2058" xr:uid="{00000000-0005-0000-0000-000009080000}"/>
    <cellStyle name="Input 5 3 3" xfId="2059" xr:uid="{00000000-0005-0000-0000-00000A080000}"/>
    <cellStyle name="Input 5 4" xfId="2060" xr:uid="{00000000-0005-0000-0000-00000B080000}"/>
    <cellStyle name="Input 5 4 2" xfId="2061" xr:uid="{00000000-0005-0000-0000-00000C080000}"/>
    <cellStyle name="Input 5 4 2 2" xfId="2062" xr:uid="{00000000-0005-0000-0000-00000D080000}"/>
    <cellStyle name="Input 5 4 3" xfId="2063" xr:uid="{00000000-0005-0000-0000-00000E080000}"/>
    <cellStyle name="Input 5 4 3 2" xfId="2064" xr:uid="{00000000-0005-0000-0000-00000F080000}"/>
    <cellStyle name="Input 6" xfId="2065" xr:uid="{00000000-0005-0000-0000-000010080000}"/>
    <cellStyle name="Input 6 2" xfId="2066" xr:uid="{00000000-0005-0000-0000-000011080000}"/>
    <cellStyle name="Input 6 3" xfId="2067" xr:uid="{00000000-0005-0000-0000-000012080000}"/>
    <cellStyle name="Input 7" xfId="2068" xr:uid="{00000000-0005-0000-0000-000013080000}"/>
    <cellStyle name="Input 7 2" xfId="2069" xr:uid="{00000000-0005-0000-0000-000014080000}"/>
    <cellStyle name="Input 8" xfId="2070" xr:uid="{00000000-0005-0000-0000-000015080000}"/>
    <cellStyle name="Input 9" xfId="2071" xr:uid="{00000000-0005-0000-0000-000016080000}"/>
    <cellStyle name="Input 9 2" xfId="2072" xr:uid="{00000000-0005-0000-0000-000017080000}"/>
    <cellStyle name="Input 9 2 2" xfId="2073" xr:uid="{00000000-0005-0000-0000-000018080000}"/>
    <cellStyle name="Input 9 3" xfId="2074" xr:uid="{00000000-0005-0000-0000-000019080000}"/>
    <cellStyle name="Input 9 3 2" xfId="2075" xr:uid="{00000000-0005-0000-0000-00001A080000}"/>
    <cellStyle name="Linked Cell" xfId="2076" builtinId="24" customBuiltin="1"/>
    <cellStyle name="Linked Cell 10" xfId="2077" xr:uid="{00000000-0005-0000-0000-00001C080000}"/>
    <cellStyle name="Linked Cell 10 2" xfId="2078" xr:uid="{00000000-0005-0000-0000-00001D080000}"/>
    <cellStyle name="Linked Cell 10 3" xfId="2079" xr:uid="{00000000-0005-0000-0000-00001E080000}"/>
    <cellStyle name="Linked Cell 11" xfId="2080" xr:uid="{00000000-0005-0000-0000-00001F080000}"/>
    <cellStyle name="Linked Cell 12" xfId="2081" xr:uid="{00000000-0005-0000-0000-000020080000}"/>
    <cellStyle name="Linked Cell 13" xfId="2082" xr:uid="{00000000-0005-0000-0000-000021080000}"/>
    <cellStyle name="Linked Cell 14" xfId="2083" xr:uid="{00000000-0005-0000-0000-000022080000}"/>
    <cellStyle name="Linked Cell 2" xfId="2084" xr:uid="{00000000-0005-0000-0000-000023080000}"/>
    <cellStyle name="Linked Cell 2 2" xfId="2085" xr:uid="{00000000-0005-0000-0000-000024080000}"/>
    <cellStyle name="Linked Cell 2 2 2" xfId="2086" xr:uid="{00000000-0005-0000-0000-000025080000}"/>
    <cellStyle name="Linked Cell 2 2 3" xfId="2087" xr:uid="{00000000-0005-0000-0000-000026080000}"/>
    <cellStyle name="Linked Cell 2 2 4" xfId="2088" xr:uid="{00000000-0005-0000-0000-000027080000}"/>
    <cellStyle name="Linked Cell 2 2 5" xfId="2089" xr:uid="{00000000-0005-0000-0000-000028080000}"/>
    <cellStyle name="Linked Cell 2 3" xfId="2090" xr:uid="{00000000-0005-0000-0000-000029080000}"/>
    <cellStyle name="Linked Cell 2 3 2" xfId="2091" xr:uid="{00000000-0005-0000-0000-00002A080000}"/>
    <cellStyle name="Linked Cell 2 3 3" xfId="2092" xr:uid="{00000000-0005-0000-0000-00002B080000}"/>
    <cellStyle name="Linked Cell 2 4" xfId="2093" xr:uid="{00000000-0005-0000-0000-00002C080000}"/>
    <cellStyle name="Linked Cell 2 5" xfId="2094" xr:uid="{00000000-0005-0000-0000-00002D080000}"/>
    <cellStyle name="Linked Cell 3" xfId="2095" xr:uid="{00000000-0005-0000-0000-00002E080000}"/>
    <cellStyle name="Linked Cell 3 2" xfId="2096" xr:uid="{00000000-0005-0000-0000-00002F080000}"/>
    <cellStyle name="Linked Cell 3 3" xfId="2097" xr:uid="{00000000-0005-0000-0000-000030080000}"/>
    <cellStyle name="Linked Cell 3 4" xfId="2098" xr:uid="{00000000-0005-0000-0000-000031080000}"/>
    <cellStyle name="Linked Cell 4" xfId="2099" xr:uid="{00000000-0005-0000-0000-000032080000}"/>
    <cellStyle name="Linked Cell 4 2" xfId="2100" xr:uid="{00000000-0005-0000-0000-000033080000}"/>
    <cellStyle name="Linked Cell 4 3" xfId="2101" xr:uid="{00000000-0005-0000-0000-000034080000}"/>
    <cellStyle name="Linked Cell 4 4" xfId="2102" xr:uid="{00000000-0005-0000-0000-000035080000}"/>
    <cellStyle name="Linked Cell 5" xfId="2103" xr:uid="{00000000-0005-0000-0000-000036080000}"/>
    <cellStyle name="Linked Cell 5 2" xfId="2104" xr:uid="{00000000-0005-0000-0000-000037080000}"/>
    <cellStyle name="Linked Cell 5 2 2" xfId="2105" xr:uid="{00000000-0005-0000-0000-000038080000}"/>
    <cellStyle name="Linked Cell 5 2 3" xfId="2106" xr:uid="{00000000-0005-0000-0000-000039080000}"/>
    <cellStyle name="Linked Cell 5 2 4" xfId="2107" xr:uid="{00000000-0005-0000-0000-00003A080000}"/>
    <cellStyle name="Linked Cell 5 3" xfId="2108" xr:uid="{00000000-0005-0000-0000-00003B080000}"/>
    <cellStyle name="Linked Cell 5 3 2" xfId="2109" xr:uid="{00000000-0005-0000-0000-00003C080000}"/>
    <cellStyle name="Linked Cell 5 3 3" xfId="2110" xr:uid="{00000000-0005-0000-0000-00003D080000}"/>
    <cellStyle name="Linked Cell 5 4" xfId="2111" xr:uid="{00000000-0005-0000-0000-00003E080000}"/>
    <cellStyle name="Linked Cell 5 4 2" xfId="2112" xr:uid="{00000000-0005-0000-0000-00003F080000}"/>
    <cellStyle name="Linked Cell 5 4 2 2" xfId="2113" xr:uid="{00000000-0005-0000-0000-000040080000}"/>
    <cellStyle name="Linked Cell 5 4 3" xfId="2114" xr:uid="{00000000-0005-0000-0000-000041080000}"/>
    <cellStyle name="Linked Cell 5 4 3 2" xfId="2115" xr:uid="{00000000-0005-0000-0000-000042080000}"/>
    <cellStyle name="Linked Cell 6" xfId="2116" xr:uid="{00000000-0005-0000-0000-000043080000}"/>
    <cellStyle name="Linked Cell 6 2" xfId="2117" xr:uid="{00000000-0005-0000-0000-000044080000}"/>
    <cellStyle name="Linked Cell 6 3" xfId="2118" xr:uid="{00000000-0005-0000-0000-000045080000}"/>
    <cellStyle name="Linked Cell 7" xfId="2119" xr:uid="{00000000-0005-0000-0000-000046080000}"/>
    <cellStyle name="Linked Cell 7 2" xfId="2120" xr:uid="{00000000-0005-0000-0000-000047080000}"/>
    <cellStyle name="Linked Cell 8" xfId="2121" xr:uid="{00000000-0005-0000-0000-000048080000}"/>
    <cellStyle name="Linked Cell 9" xfId="2122" xr:uid="{00000000-0005-0000-0000-000049080000}"/>
    <cellStyle name="Linked Cell 9 2" xfId="2123" xr:uid="{00000000-0005-0000-0000-00004A080000}"/>
    <cellStyle name="Linked Cell 9 2 2" xfId="2124" xr:uid="{00000000-0005-0000-0000-00004B080000}"/>
    <cellStyle name="Linked Cell 9 3" xfId="2125" xr:uid="{00000000-0005-0000-0000-00004C080000}"/>
    <cellStyle name="Linked Cell 9 3 2" xfId="2126" xr:uid="{00000000-0005-0000-0000-00004D080000}"/>
    <cellStyle name="Neutral" xfId="2127" builtinId="28" customBuiltin="1"/>
    <cellStyle name="Neutral 10" xfId="2128" xr:uid="{00000000-0005-0000-0000-00004F080000}"/>
    <cellStyle name="Neutral 10 2" xfId="2129" xr:uid="{00000000-0005-0000-0000-000050080000}"/>
    <cellStyle name="Neutral 10 3" xfId="2130" xr:uid="{00000000-0005-0000-0000-000051080000}"/>
    <cellStyle name="Neutral 11" xfId="2131" xr:uid="{00000000-0005-0000-0000-000052080000}"/>
    <cellStyle name="Neutral 12" xfId="2132" xr:uid="{00000000-0005-0000-0000-000053080000}"/>
    <cellStyle name="Neutral 13" xfId="2133" xr:uid="{00000000-0005-0000-0000-000054080000}"/>
    <cellStyle name="Neutral 14" xfId="2134" xr:uid="{00000000-0005-0000-0000-000055080000}"/>
    <cellStyle name="Neutral 2" xfId="2135" xr:uid="{00000000-0005-0000-0000-000056080000}"/>
    <cellStyle name="Neutral 2 2" xfId="2136" xr:uid="{00000000-0005-0000-0000-000057080000}"/>
    <cellStyle name="Neutral 2 2 2" xfId="2137" xr:uid="{00000000-0005-0000-0000-000058080000}"/>
    <cellStyle name="Neutral 2 2 3" xfId="2138" xr:uid="{00000000-0005-0000-0000-000059080000}"/>
    <cellStyle name="Neutral 2 2 4" xfId="2139" xr:uid="{00000000-0005-0000-0000-00005A080000}"/>
    <cellStyle name="Neutral 2 2 5" xfId="2140" xr:uid="{00000000-0005-0000-0000-00005B080000}"/>
    <cellStyle name="Neutral 2 3" xfId="2141" xr:uid="{00000000-0005-0000-0000-00005C080000}"/>
    <cellStyle name="Neutral 2 3 2" xfId="2142" xr:uid="{00000000-0005-0000-0000-00005D080000}"/>
    <cellStyle name="Neutral 2 3 3" xfId="2143" xr:uid="{00000000-0005-0000-0000-00005E080000}"/>
    <cellStyle name="Neutral 2 4" xfId="2144" xr:uid="{00000000-0005-0000-0000-00005F080000}"/>
    <cellStyle name="Neutral 2 5" xfId="2145" xr:uid="{00000000-0005-0000-0000-000060080000}"/>
    <cellStyle name="Neutral 3" xfId="2146" xr:uid="{00000000-0005-0000-0000-000061080000}"/>
    <cellStyle name="Neutral 3 2" xfId="2147" xr:uid="{00000000-0005-0000-0000-000062080000}"/>
    <cellStyle name="Neutral 3 3" xfId="2148" xr:uid="{00000000-0005-0000-0000-000063080000}"/>
    <cellStyle name="Neutral 3 4" xfId="2149" xr:uid="{00000000-0005-0000-0000-000064080000}"/>
    <cellStyle name="Neutral 4" xfId="2150" xr:uid="{00000000-0005-0000-0000-000065080000}"/>
    <cellStyle name="Neutral 4 2" xfId="2151" xr:uid="{00000000-0005-0000-0000-000066080000}"/>
    <cellStyle name="Neutral 4 3" xfId="2152" xr:uid="{00000000-0005-0000-0000-000067080000}"/>
    <cellStyle name="Neutral 4 4" xfId="2153" xr:uid="{00000000-0005-0000-0000-000068080000}"/>
    <cellStyle name="Neutral 5" xfId="2154" xr:uid="{00000000-0005-0000-0000-000069080000}"/>
    <cellStyle name="Neutral 5 2" xfId="2155" xr:uid="{00000000-0005-0000-0000-00006A080000}"/>
    <cellStyle name="Neutral 5 2 2" xfId="2156" xr:uid="{00000000-0005-0000-0000-00006B080000}"/>
    <cellStyle name="Neutral 5 2 3" xfId="2157" xr:uid="{00000000-0005-0000-0000-00006C080000}"/>
    <cellStyle name="Neutral 5 2 4" xfId="2158" xr:uid="{00000000-0005-0000-0000-00006D080000}"/>
    <cellStyle name="Neutral 5 3" xfId="2159" xr:uid="{00000000-0005-0000-0000-00006E080000}"/>
    <cellStyle name="Neutral 5 3 2" xfId="2160" xr:uid="{00000000-0005-0000-0000-00006F080000}"/>
    <cellStyle name="Neutral 5 3 3" xfId="2161" xr:uid="{00000000-0005-0000-0000-000070080000}"/>
    <cellStyle name="Neutral 5 4" xfId="2162" xr:uid="{00000000-0005-0000-0000-000071080000}"/>
    <cellStyle name="Neutral 5 4 2" xfId="2163" xr:uid="{00000000-0005-0000-0000-000072080000}"/>
    <cellStyle name="Neutral 5 4 2 2" xfId="2164" xr:uid="{00000000-0005-0000-0000-000073080000}"/>
    <cellStyle name="Neutral 5 4 3" xfId="2165" xr:uid="{00000000-0005-0000-0000-000074080000}"/>
    <cellStyle name="Neutral 5 4 3 2" xfId="2166" xr:uid="{00000000-0005-0000-0000-000075080000}"/>
    <cellStyle name="Neutral 6" xfId="2167" xr:uid="{00000000-0005-0000-0000-000076080000}"/>
    <cellStyle name="Neutral 6 2" xfId="2168" xr:uid="{00000000-0005-0000-0000-000077080000}"/>
    <cellStyle name="Neutral 6 3" xfId="2169" xr:uid="{00000000-0005-0000-0000-000078080000}"/>
    <cellStyle name="Neutral 7" xfId="2170" xr:uid="{00000000-0005-0000-0000-000079080000}"/>
    <cellStyle name="Neutral 7 2" xfId="2171" xr:uid="{00000000-0005-0000-0000-00007A080000}"/>
    <cellStyle name="Neutral 8" xfId="2172" xr:uid="{00000000-0005-0000-0000-00007B080000}"/>
    <cellStyle name="Neutral 9" xfId="2173" xr:uid="{00000000-0005-0000-0000-00007C080000}"/>
    <cellStyle name="Neutral 9 2" xfId="2174" xr:uid="{00000000-0005-0000-0000-00007D080000}"/>
    <cellStyle name="Neutral 9 2 2" xfId="2175" xr:uid="{00000000-0005-0000-0000-00007E080000}"/>
    <cellStyle name="Neutral 9 3" xfId="2176" xr:uid="{00000000-0005-0000-0000-00007F080000}"/>
    <cellStyle name="Neutral 9 3 2" xfId="2177" xr:uid="{00000000-0005-0000-0000-000080080000}"/>
    <cellStyle name="Normal" xfId="0" builtinId="0"/>
    <cellStyle name="Normal 10" xfId="2178" xr:uid="{00000000-0005-0000-0000-000082080000}"/>
    <cellStyle name="Normal 10 2" xfId="2179" xr:uid="{00000000-0005-0000-0000-000083080000}"/>
    <cellStyle name="Normal 10 3" xfId="2180" xr:uid="{00000000-0005-0000-0000-000084080000}"/>
    <cellStyle name="Normal 10 4" xfId="2181" xr:uid="{00000000-0005-0000-0000-000085080000}"/>
    <cellStyle name="Normal 11" xfId="2182" xr:uid="{00000000-0005-0000-0000-000086080000}"/>
    <cellStyle name="Normal 11 2" xfId="2183" xr:uid="{00000000-0005-0000-0000-000087080000}"/>
    <cellStyle name="Normal 11 3" xfId="2184" xr:uid="{00000000-0005-0000-0000-000088080000}"/>
    <cellStyle name="Normal 11 3 2" xfId="2185" xr:uid="{00000000-0005-0000-0000-000089080000}"/>
    <cellStyle name="Normal 12" xfId="2186" xr:uid="{00000000-0005-0000-0000-00008A080000}"/>
    <cellStyle name="Normal 12 2" xfId="2187" xr:uid="{00000000-0005-0000-0000-00008B080000}"/>
    <cellStyle name="Normal 12 2 2" xfId="2188" xr:uid="{00000000-0005-0000-0000-00008C080000}"/>
    <cellStyle name="Normal 12 2 2 2" xfId="2189" xr:uid="{00000000-0005-0000-0000-00008D080000}"/>
    <cellStyle name="Normal 12 2 2 2 2" xfId="2190" xr:uid="{00000000-0005-0000-0000-00008E080000}"/>
    <cellStyle name="Normal 12 2 2 2 3" xfId="2191" xr:uid="{00000000-0005-0000-0000-00008F080000}"/>
    <cellStyle name="Normal 12 2 2 3" xfId="2192" xr:uid="{00000000-0005-0000-0000-000090080000}"/>
    <cellStyle name="Normal 12 2 2 3 2" xfId="2193" xr:uid="{00000000-0005-0000-0000-000091080000}"/>
    <cellStyle name="Normal 12 2 2 4" xfId="2194" xr:uid="{00000000-0005-0000-0000-000092080000}"/>
    <cellStyle name="Normal 12 2 2 5" xfId="2195" xr:uid="{00000000-0005-0000-0000-000093080000}"/>
    <cellStyle name="Normal 12 2 3" xfId="2196" xr:uid="{00000000-0005-0000-0000-000094080000}"/>
    <cellStyle name="Normal 12 2 3 2" xfId="2197" xr:uid="{00000000-0005-0000-0000-000095080000}"/>
    <cellStyle name="Normal 12 2 3 2 2" xfId="2198" xr:uid="{00000000-0005-0000-0000-000096080000}"/>
    <cellStyle name="Normal 12 2 3 2 3" xfId="2199" xr:uid="{00000000-0005-0000-0000-000097080000}"/>
    <cellStyle name="Normal 12 2 3 3" xfId="2200" xr:uid="{00000000-0005-0000-0000-000098080000}"/>
    <cellStyle name="Normal 12 2 3 3 2" xfId="2201" xr:uid="{00000000-0005-0000-0000-000099080000}"/>
    <cellStyle name="Normal 12 2 3 4" xfId="2202" xr:uid="{00000000-0005-0000-0000-00009A080000}"/>
    <cellStyle name="Normal 12 2 3 5" xfId="2203" xr:uid="{00000000-0005-0000-0000-00009B080000}"/>
    <cellStyle name="Normal 12 2 4" xfId="2204" xr:uid="{00000000-0005-0000-0000-00009C080000}"/>
    <cellStyle name="Normal 12 2 4 2" xfId="2205" xr:uid="{00000000-0005-0000-0000-00009D080000}"/>
    <cellStyle name="Normal 12 2 4 3" xfId="2206" xr:uid="{00000000-0005-0000-0000-00009E080000}"/>
    <cellStyle name="Normal 12 2 5" xfId="2207" xr:uid="{00000000-0005-0000-0000-00009F080000}"/>
    <cellStyle name="Normal 12 2 5 2" xfId="2208" xr:uid="{00000000-0005-0000-0000-0000A0080000}"/>
    <cellStyle name="Normal 12 2 6" xfId="2209" xr:uid="{00000000-0005-0000-0000-0000A1080000}"/>
    <cellStyle name="Normal 12 2 7" xfId="2210" xr:uid="{00000000-0005-0000-0000-0000A2080000}"/>
    <cellStyle name="Normal 12 2 8" xfId="2211" xr:uid="{00000000-0005-0000-0000-0000A3080000}"/>
    <cellStyle name="Normal 12 2 8 2" xfId="2212" xr:uid="{00000000-0005-0000-0000-0000A4080000}"/>
    <cellStyle name="Normal 12 2 9" xfId="2213" xr:uid="{00000000-0005-0000-0000-0000A5080000}"/>
    <cellStyle name="Normal 12 3" xfId="2214" xr:uid="{00000000-0005-0000-0000-0000A6080000}"/>
    <cellStyle name="Normal 12 4" xfId="2215" xr:uid="{00000000-0005-0000-0000-0000A7080000}"/>
    <cellStyle name="Normal 12 4 2" xfId="2216" xr:uid="{00000000-0005-0000-0000-0000A8080000}"/>
    <cellStyle name="Normal 12 4 2 2" xfId="2217" xr:uid="{00000000-0005-0000-0000-0000A9080000}"/>
    <cellStyle name="Normal 12 4 2 3" xfId="2218" xr:uid="{00000000-0005-0000-0000-0000AA080000}"/>
    <cellStyle name="Normal 12 4 3" xfId="2219" xr:uid="{00000000-0005-0000-0000-0000AB080000}"/>
    <cellStyle name="Normal 12 4 3 2" xfId="2220" xr:uid="{00000000-0005-0000-0000-0000AC080000}"/>
    <cellStyle name="Normal 12 4 4" xfId="2221" xr:uid="{00000000-0005-0000-0000-0000AD080000}"/>
    <cellStyle name="Normal 12 4 5" xfId="2222" xr:uid="{00000000-0005-0000-0000-0000AE080000}"/>
    <cellStyle name="Normal 12 5" xfId="2223" xr:uid="{00000000-0005-0000-0000-0000AF080000}"/>
    <cellStyle name="Normal 12 5 2" xfId="2224" xr:uid="{00000000-0005-0000-0000-0000B0080000}"/>
    <cellStyle name="Normal 12 5 2 2" xfId="2225" xr:uid="{00000000-0005-0000-0000-0000B1080000}"/>
    <cellStyle name="Normal 12 5 2 3" xfId="2226" xr:uid="{00000000-0005-0000-0000-0000B2080000}"/>
    <cellStyle name="Normal 12 5 3" xfId="2227" xr:uid="{00000000-0005-0000-0000-0000B3080000}"/>
    <cellStyle name="Normal 12 5 3 2" xfId="2228" xr:uid="{00000000-0005-0000-0000-0000B4080000}"/>
    <cellStyle name="Normal 12 5 4" xfId="2229" xr:uid="{00000000-0005-0000-0000-0000B5080000}"/>
    <cellStyle name="Normal 12 5 5" xfId="2230" xr:uid="{00000000-0005-0000-0000-0000B6080000}"/>
    <cellStyle name="Normal 12 6" xfId="2231" xr:uid="{00000000-0005-0000-0000-0000B7080000}"/>
    <cellStyle name="Normal 12 6 2" xfId="2232" xr:uid="{00000000-0005-0000-0000-0000B8080000}"/>
    <cellStyle name="Normal 12 6 3" xfId="2233" xr:uid="{00000000-0005-0000-0000-0000B9080000}"/>
    <cellStyle name="Normal 12 7" xfId="2234" xr:uid="{00000000-0005-0000-0000-0000BA080000}"/>
    <cellStyle name="Normal 12 7 2" xfId="2235" xr:uid="{00000000-0005-0000-0000-0000BB080000}"/>
    <cellStyle name="Normal 12 7 3" xfId="2236" xr:uid="{00000000-0005-0000-0000-0000BC080000}"/>
    <cellStyle name="Normal 12 8" xfId="2237" xr:uid="{00000000-0005-0000-0000-0000BD080000}"/>
    <cellStyle name="Normal 12 8 2" xfId="2238" xr:uid="{00000000-0005-0000-0000-0000BE080000}"/>
    <cellStyle name="Normal 12 9" xfId="2239" xr:uid="{00000000-0005-0000-0000-0000BF080000}"/>
    <cellStyle name="Normal 12 9 2" xfId="2240" xr:uid="{00000000-0005-0000-0000-0000C0080000}"/>
    <cellStyle name="Normal 13" xfId="2241" xr:uid="{00000000-0005-0000-0000-0000C1080000}"/>
    <cellStyle name="Normal 13 10" xfId="2242" xr:uid="{00000000-0005-0000-0000-0000C2080000}"/>
    <cellStyle name="Normal 13 10 2" xfId="2243" xr:uid="{00000000-0005-0000-0000-0000C3080000}"/>
    <cellStyle name="Normal 13 11" xfId="2244" xr:uid="{00000000-0005-0000-0000-0000C4080000}"/>
    <cellStyle name="Normal 13 11 2" xfId="2245" xr:uid="{00000000-0005-0000-0000-0000C5080000}"/>
    <cellStyle name="Normal 13 2" xfId="2246" xr:uid="{00000000-0005-0000-0000-0000C6080000}"/>
    <cellStyle name="Normal 13 2 10" xfId="2247" xr:uid="{00000000-0005-0000-0000-0000C7080000}"/>
    <cellStyle name="Normal 13 2 11" xfId="2248" xr:uid="{00000000-0005-0000-0000-0000C8080000}"/>
    <cellStyle name="Normal 13 2 12" xfId="2249" xr:uid="{00000000-0005-0000-0000-0000C9080000}"/>
    <cellStyle name="Normal 13 2 12 2" xfId="2250" xr:uid="{00000000-0005-0000-0000-0000CA080000}"/>
    <cellStyle name="Normal 13 2 13" xfId="2251" xr:uid="{00000000-0005-0000-0000-0000CB080000}"/>
    <cellStyle name="Normal 13 2 2" xfId="2252" xr:uid="{00000000-0005-0000-0000-0000CC080000}"/>
    <cellStyle name="Normal 13 2 2 2" xfId="2253" xr:uid="{00000000-0005-0000-0000-0000CD080000}"/>
    <cellStyle name="Normal 13 2 2 2 2" xfId="2254" xr:uid="{00000000-0005-0000-0000-0000CE080000}"/>
    <cellStyle name="Normal 13 2 2 2 2 2" xfId="2255" xr:uid="{00000000-0005-0000-0000-0000CF080000}"/>
    <cellStyle name="Normal 13 2 2 2 2 2 2" xfId="2256" xr:uid="{00000000-0005-0000-0000-0000D0080000}"/>
    <cellStyle name="Normal 13 2 2 2 2 2 2 2" xfId="2257" xr:uid="{00000000-0005-0000-0000-0000D1080000}"/>
    <cellStyle name="Normal 13 2 2 2 2 2 2 3" xfId="2258" xr:uid="{00000000-0005-0000-0000-0000D2080000}"/>
    <cellStyle name="Normal 13 2 2 2 2 2 3" xfId="2259" xr:uid="{00000000-0005-0000-0000-0000D3080000}"/>
    <cellStyle name="Normal 13 2 2 2 2 2 3 2" xfId="2260" xr:uid="{00000000-0005-0000-0000-0000D4080000}"/>
    <cellStyle name="Normal 13 2 2 2 2 2 4" xfId="2261" xr:uid="{00000000-0005-0000-0000-0000D5080000}"/>
    <cellStyle name="Normal 13 2 2 2 2 2 5" xfId="2262" xr:uid="{00000000-0005-0000-0000-0000D6080000}"/>
    <cellStyle name="Normal 13 2 2 2 2 3" xfId="2263" xr:uid="{00000000-0005-0000-0000-0000D7080000}"/>
    <cellStyle name="Normal 13 2 2 2 2 3 2" xfId="2264" xr:uid="{00000000-0005-0000-0000-0000D8080000}"/>
    <cellStyle name="Normal 13 2 2 2 2 3 3" xfId="2265" xr:uid="{00000000-0005-0000-0000-0000D9080000}"/>
    <cellStyle name="Normal 13 2 2 2 2 4" xfId="2266" xr:uid="{00000000-0005-0000-0000-0000DA080000}"/>
    <cellStyle name="Normal 13 2 2 2 2 4 2" xfId="2267" xr:uid="{00000000-0005-0000-0000-0000DB080000}"/>
    <cellStyle name="Normal 13 2 2 2 2 5" xfId="2268" xr:uid="{00000000-0005-0000-0000-0000DC080000}"/>
    <cellStyle name="Normal 13 2 2 2 2 6" xfId="2269" xr:uid="{00000000-0005-0000-0000-0000DD080000}"/>
    <cellStyle name="Normal 13 2 2 2 3" xfId="2270" xr:uid="{00000000-0005-0000-0000-0000DE080000}"/>
    <cellStyle name="Normal 13 2 2 2 3 2" xfId="2271" xr:uid="{00000000-0005-0000-0000-0000DF080000}"/>
    <cellStyle name="Normal 13 2 2 2 3 2 2" xfId="2272" xr:uid="{00000000-0005-0000-0000-0000E0080000}"/>
    <cellStyle name="Normal 13 2 2 2 3 2 3" xfId="2273" xr:uid="{00000000-0005-0000-0000-0000E1080000}"/>
    <cellStyle name="Normal 13 2 2 2 3 3" xfId="2274" xr:uid="{00000000-0005-0000-0000-0000E2080000}"/>
    <cellStyle name="Normal 13 2 2 2 3 3 2" xfId="2275" xr:uid="{00000000-0005-0000-0000-0000E3080000}"/>
    <cellStyle name="Normal 13 2 2 2 3 4" xfId="2276" xr:uid="{00000000-0005-0000-0000-0000E4080000}"/>
    <cellStyle name="Normal 13 2 2 2 3 5" xfId="2277" xr:uid="{00000000-0005-0000-0000-0000E5080000}"/>
    <cellStyle name="Normal 13 2 2 2 4" xfId="2278" xr:uid="{00000000-0005-0000-0000-0000E6080000}"/>
    <cellStyle name="Normal 13 2 2 2 4 2" xfId="2279" xr:uid="{00000000-0005-0000-0000-0000E7080000}"/>
    <cellStyle name="Normal 13 2 2 2 4 3" xfId="2280" xr:uid="{00000000-0005-0000-0000-0000E8080000}"/>
    <cellStyle name="Normal 13 2 2 2 5" xfId="2281" xr:uid="{00000000-0005-0000-0000-0000E9080000}"/>
    <cellStyle name="Normal 13 2 2 2 5 2" xfId="2282" xr:uid="{00000000-0005-0000-0000-0000EA080000}"/>
    <cellStyle name="Normal 13 2 2 2 5 3" xfId="2283" xr:uid="{00000000-0005-0000-0000-0000EB080000}"/>
    <cellStyle name="Normal 13 2 2 2 6" xfId="2284" xr:uid="{00000000-0005-0000-0000-0000EC080000}"/>
    <cellStyle name="Normal 13 2 2 2 6 2" xfId="2285" xr:uid="{00000000-0005-0000-0000-0000ED080000}"/>
    <cellStyle name="Normal 13 2 2 2 7" xfId="2286" xr:uid="{00000000-0005-0000-0000-0000EE080000}"/>
    <cellStyle name="Normal 13 2 2 2 8" xfId="2287" xr:uid="{00000000-0005-0000-0000-0000EF080000}"/>
    <cellStyle name="Normal 13 2 2 3" xfId="2288" xr:uid="{00000000-0005-0000-0000-0000F0080000}"/>
    <cellStyle name="Normal 13 2 2 3 2" xfId="2289" xr:uid="{00000000-0005-0000-0000-0000F1080000}"/>
    <cellStyle name="Normal 13 2 2 3 2 2" xfId="2290" xr:uid="{00000000-0005-0000-0000-0000F2080000}"/>
    <cellStyle name="Normal 13 2 2 3 2 2 2" xfId="2291" xr:uid="{00000000-0005-0000-0000-0000F3080000}"/>
    <cellStyle name="Normal 13 2 2 3 2 2 3" xfId="2292" xr:uid="{00000000-0005-0000-0000-0000F4080000}"/>
    <cellStyle name="Normal 13 2 2 3 2 3" xfId="2293" xr:uid="{00000000-0005-0000-0000-0000F5080000}"/>
    <cellStyle name="Normal 13 2 2 3 2 3 2" xfId="2294" xr:uid="{00000000-0005-0000-0000-0000F6080000}"/>
    <cellStyle name="Normal 13 2 2 3 2 4" xfId="2295" xr:uid="{00000000-0005-0000-0000-0000F7080000}"/>
    <cellStyle name="Normal 13 2 2 3 2 5" xfId="2296" xr:uid="{00000000-0005-0000-0000-0000F8080000}"/>
    <cellStyle name="Normal 13 2 2 3 3" xfId="2297" xr:uid="{00000000-0005-0000-0000-0000F9080000}"/>
    <cellStyle name="Normal 13 2 2 3 3 2" xfId="2298" xr:uid="{00000000-0005-0000-0000-0000FA080000}"/>
    <cellStyle name="Normal 13 2 2 3 3 3" xfId="2299" xr:uid="{00000000-0005-0000-0000-0000FB080000}"/>
    <cellStyle name="Normal 13 2 2 3 4" xfId="2300" xr:uid="{00000000-0005-0000-0000-0000FC080000}"/>
    <cellStyle name="Normal 13 2 2 3 4 2" xfId="2301" xr:uid="{00000000-0005-0000-0000-0000FD080000}"/>
    <cellStyle name="Normal 13 2 2 3 5" xfId="2302" xr:uid="{00000000-0005-0000-0000-0000FE080000}"/>
    <cellStyle name="Normal 13 2 2 3 6" xfId="2303" xr:uid="{00000000-0005-0000-0000-0000FF080000}"/>
    <cellStyle name="Normal 13 2 2 4" xfId="2304" xr:uid="{00000000-0005-0000-0000-000000090000}"/>
    <cellStyle name="Normal 13 2 2 4 2" xfId="2305" xr:uid="{00000000-0005-0000-0000-000001090000}"/>
    <cellStyle name="Normal 13 2 2 4 2 2" xfId="2306" xr:uid="{00000000-0005-0000-0000-000002090000}"/>
    <cellStyle name="Normal 13 2 2 4 2 3" xfId="2307" xr:uid="{00000000-0005-0000-0000-000003090000}"/>
    <cellStyle name="Normal 13 2 2 4 3" xfId="2308" xr:uid="{00000000-0005-0000-0000-000004090000}"/>
    <cellStyle name="Normal 13 2 2 4 3 2" xfId="2309" xr:uid="{00000000-0005-0000-0000-000005090000}"/>
    <cellStyle name="Normal 13 2 2 4 4" xfId="2310" xr:uid="{00000000-0005-0000-0000-000006090000}"/>
    <cellStyle name="Normal 13 2 2 4 5" xfId="2311" xr:uid="{00000000-0005-0000-0000-000007090000}"/>
    <cellStyle name="Normal 13 2 2 5" xfId="2312" xr:uid="{00000000-0005-0000-0000-000008090000}"/>
    <cellStyle name="Normal 13 2 2 5 2" xfId="2313" xr:uid="{00000000-0005-0000-0000-000009090000}"/>
    <cellStyle name="Normal 13 2 2 5 3" xfId="2314" xr:uid="{00000000-0005-0000-0000-00000A090000}"/>
    <cellStyle name="Normal 13 2 2 6" xfId="2315" xr:uid="{00000000-0005-0000-0000-00000B090000}"/>
    <cellStyle name="Normal 13 2 2 6 2" xfId="2316" xr:uid="{00000000-0005-0000-0000-00000C090000}"/>
    <cellStyle name="Normal 13 2 2 6 3" xfId="2317" xr:uid="{00000000-0005-0000-0000-00000D090000}"/>
    <cellStyle name="Normal 13 2 2 7" xfId="2318" xr:uid="{00000000-0005-0000-0000-00000E090000}"/>
    <cellStyle name="Normal 13 2 2 7 2" xfId="2319" xr:uid="{00000000-0005-0000-0000-00000F090000}"/>
    <cellStyle name="Normal 13 2 2 8" xfId="2320" xr:uid="{00000000-0005-0000-0000-000010090000}"/>
    <cellStyle name="Normal 13 2 2 9" xfId="2321" xr:uid="{00000000-0005-0000-0000-000011090000}"/>
    <cellStyle name="Normal 13 2 3" xfId="2322" xr:uid="{00000000-0005-0000-0000-000012090000}"/>
    <cellStyle name="Normal 13 2 3 2" xfId="2323" xr:uid="{00000000-0005-0000-0000-000013090000}"/>
    <cellStyle name="Normal 13 2 3 2 2" xfId="2324" xr:uid="{00000000-0005-0000-0000-000014090000}"/>
    <cellStyle name="Normal 13 2 3 2 2 2" xfId="2325" xr:uid="{00000000-0005-0000-0000-000015090000}"/>
    <cellStyle name="Normal 13 2 3 2 2 2 2" xfId="2326" xr:uid="{00000000-0005-0000-0000-000016090000}"/>
    <cellStyle name="Normal 13 2 3 2 2 2 3" xfId="2327" xr:uid="{00000000-0005-0000-0000-000017090000}"/>
    <cellStyle name="Normal 13 2 3 2 2 3" xfId="2328" xr:uid="{00000000-0005-0000-0000-000018090000}"/>
    <cellStyle name="Normal 13 2 3 2 2 3 2" xfId="2329" xr:uid="{00000000-0005-0000-0000-000019090000}"/>
    <cellStyle name="Normal 13 2 3 2 2 4" xfId="2330" xr:uid="{00000000-0005-0000-0000-00001A090000}"/>
    <cellStyle name="Normal 13 2 3 2 2 5" xfId="2331" xr:uid="{00000000-0005-0000-0000-00001B090000}"/>
    <cellStyle name="Normal 13 2 3 2 3" xfId="2332" xr:uid="{00000000-0005-0000-0000-00001C090000}"/>
    <cellStyle name="Normal 13 2 3 2 3 2" xfId="2333" xr:uid="{00000000-0005-0000-0000-00001D090000}"/>
    <cellStyle name="Normal 13 2 3 2 3 3" xfId="2334" xr:uid="{00000000-0005-0000-0000-00001E090000}"/>
    <cellStyle name="Normal 13 2 3 2 4" xfId="2335" xr:uid="{00000000-0005-0000-0000-00001F090000}"/>
    <cellStyle name="Normal 13 2 3 2 4 2" xfId="2336" xr:uid="{00000000-0005-0000-0000-000020090000}"/>
    <cellStyle name="Normal 13 2 3 2 5" xfId="2337" xr:uid="{00000000-0005-0000-0000-000021090000}"/>
    <cellStyle name="Normal 13 2 3 2 6" xfId="2338" xr:uid="{00000000-0005-0000-0000-000022090000}"/>
    <cellStyle name="Normal 13 2 3 3" xfId="2339" xr:uid="{00000000-0005-0000-0000-000023090000}"/>
    <cellStyle name="Normal 13 2 3 3 2" xfId="2340" xr:uid="{00000000-0005-0000-0000-000024090000}"/>
    <cellStyle name="Normal 13 2 3 3 2 2" xfId="2341" xr:uid="{00000000-0005-0000-0000-000025090000}"/>
    <cellStyle name="Normal 13 2 3 3 2 3" xfId="2342" xr:uid="{00000000-0005-0000-0000-000026090000}"/>
    <cellStyle name="Normal 13 2 3 3 3" xfId="2343" xr:uid="{00000000-0005-0000-0000-000027090000}"/>
    <cellStyle name="Normal 13 2 3 3 3 2" xfId="2344" xr:uid="{00000000-0005-0000-0000-000028090000}"/>
    <cellStyle name="Normal 13 2 3 3 4" xfId="2345" xr:uid="{00000000-0005-0000-0000-000029090000}"/>
    <cellStyle name="Normal 13 2 3 3 5" xfId="2346" xr:uid="{00000000-0005-0000-0000-00002A090000}"/>
    <cellStyle name="Normal 13 2 3 4" xfId="2347" xr:uid="{00000000-0005-0000-0000-00002B090000}"/>
    <cellStyle name="Normal 13 2 3 4 2" xfId="2348" xr:uid="{00000000-0005-0000-0000-00002C090000}"/>
    <cellStyle name="Normal 13 2 3 4 3" xfId="2349" xr:uid="{00000000-0005-0000-0000-00002D090000}"/>
    <cellStyle name="Normal 13 2 3 5" xfId="2350" xr:uid="{00000000-0005-0000-0000-00002E090000}"/>
    <cellStyle name="Normal 13 2 3 5 2" xfId="2351" xr:uid="{00000000-0005-0000-0000-00002F090000}"/>
    <cellStyle name="Normal 13 2 3 5 3" xfId="2352" xr:uid="{00000000-0005-0000-0000-000030090000}"/>
    <cellStyle name="Normal 13 2 3 6" xfId="2353" xr:uid="{00000000-0005-0000-0000-000031090000}"/>
    <cellStyle name="Normal 13 2 3 6 2" xfId="2354" xr:uid="{00000000-0005-0000-0000-000032090000}"/>
    <cellStyle name="Normal 13 2 3 7" xfId="2355" xr:uid="{00000000-0005-0000-0000-000033090000}"/>
    <cellStyle name="Normal 13 2 3 8" xfId="2356" xr:uid="{00000000-0005-0000-0000-000034090000}"/>
    <cellStyle name="Normal 13 2 4" xfId="2357" xr:uid="{00000000-0005-0000-0000-000035090000}"/>
    <cellStyle name="Normal 13 2 4 2" xfId="2358" xr:uid="{00000000-0005-0000-0000-000036090000}"/>
    <cellStyle name="Normal 13 2 4 2 2" xfId="2359" xr:uid="{00000000-0005-0000-0000-000037090000}"/>
    <cellStyle name="Normal 13 2 4 2 2 2" xfId="2360" xr:uid="{00000000-0005-0000-0000-000038090000}"/>
    <cellStyle name="Normal 13 2 4 2 2 3" xfId="2361" xr:uid="{00000000-0005-0000-0000-000039090000}"/>
    <cellStyle name="Normal 13 2 4 2 3" xfId="2362" xr:uid="{00000000-0005-0000-0000-00003A090000}"/>
    <cellStyle name="Normal 13 2 4 2 3 2" xfId="2363" xr:uid="{00000000-0005-0000-0000-00003B090000}"/>
    <cellStyle name="Normal 13 2 4 2 4" xfId="2364" xr:uid="{00000000-0005-0000-0000-00003C090000}"/>
    <cellStyle name="Normal 13 2 4 2 5" xfId="2365" xr:uid="{00000000-0005-0000-0000-00003D090000}"/>
    <cellStyle name="Normal 13 2 4 3" xfId="2366" xr:uid="{00000000-0005-0000-0000-00003E090000}"/>
    <cellStyle name="Normal 13 2 4 3 2" xfId="2367" xr:uid="{00000000-0005-0000-0000-00003F090000}"/>
    <cellStyle name="Normal 13 2 4 3 3" xfId="2368" xr:uid="{00000000-0005-0000-0000-000040090000}"/>
    <cellStyle name="Normal 13 2 4 4" xfId="2369" xr:uid="{00000000-0005-0000-0000-000041090000}"/>
    <cellStyle name="Normal 13 2 4 4 2" xfId="2370" xr:uid="{00000000-0005-0000-0000-000042090000}"/>
    <cellStyle name="Normal 13 2 4 5" xfId="2371" xr:uid="{00000000-0005-0000-0000-000043090000}"/>
    <cellStyle name="Normal 13 2 4 6" xfId="2372" xr:uid="{00000000-0005-0000-0000-000044090000}"/>
    <cellStyle name="Normal 13 2 5" xfId="2373" xr:uid="{00000000-0005-0000-0000-000045090000}"/>
    <cellStyle name="Normal 13 2 5 2" xfId="2374" xr:uid="{00000000-0005-0000-0000-000046090000}"/>
    <cellStyle name="Normal 13 2 5 2 2" xfId="2375" xr:uid="{00000000-0005-0000-0000-000047090000}"/>
    <cellStyle name="Normal 13 2 5 2 2 2" xfId="2376" xr:uid="{00000000-0005-0000-0000-000048090000}"/>
    <cellStyle name="Normal 13 2 5 2 2 3" xfId="2377" xr:uid="{00000000-0005-0000-0000-000049090000}"/>
    <cellStyle name="Normal 13 2 5 2 3" xfId="2378" xr:uid="{00000000-0005-0000-0000-00004A090000}"/>
    <cellStyle name="Normal 13 2 5 2 3 2" xfId="2379" xr:uid="{00000000-0005-0000-0000-00004B090000}"/>
    <cellStyle name="Normal 13 2 5 2 4" xfId="2380" xr:uid="{00000000-0005-0000-0000-00004C090000}"/>
    <cellStyle name="Normal 13 2 5 2 5" xfId="2381" xr:uid="{00000000-0005-0000-0000-00004D090000}"/>
    <cellStyle name="Normal 13 2 5 3" xfId="2382" xr:uid="{00000000-0005-0000-0000-00004E090000}"/>
    <cellStyle name="Normal 13 2 5 3 2" xfId="2383" xr:uid="{00000000-0005-0000-0000-00004F090000}"/>
    <cellStyle name="Normal 13 2 5 3 3" xfId="2384" xr:uid="{00000000-0005-0000-0000-000050090000}"/>
    <cellStyle name="Normal 13 2 5 4" xfId="2385" xr:uid="{00000000-0005-0000-0000-000051090000}"/>
    <cellStyle name="Normal 13 2 5 4 2" xfId="2386" xr:uid="{00000000-0005-0000-0000-000052090000}"/>
    <cellStyle name="Normal 13 2 5 5" xfId="2387" xr:uid="{00000000-0005-0000-0000-000053090000}"/>
    <cellStyle name="Normal 13 2 5 6" xfId="2388" xr:uid="{00000000-0005-0000-0000-000054090000}"/>
    <cellStyle name="Normal 13 2 6" xfId="2389" xr:uid="{00000000-0005-0000-0000-000055090000}"/>
    <cellStyle name="Normal 13 2 6 2" xfId="2390" xr:uid="{00000000-0005-0000-0000-000056090000}"/>
    <cellStyle name="Normal 13 2 6 2 2" xfId="2391" xr:uid="{00000000-0005-0000-0000-000057090000}"/>
    <cellStyle name="Normal 13 2 6 2 3" xfId="2392" xr:uid="{00000000-0005-0000-0000-000058090000}"/>
    <cellStyle name="Normal 13 2 6 3" xfId="2393" xr:uid="{00000000-0005-0000-0000-000059090000}"/>
    <cellStyle name="Normal 13 2 6 3 2" xfId="2394" xr:uid="{00000000-0005-0000-0000-00005A090000}"/>
    <cellStyle name="Normal 13 2 6 4" xfId="2395" xr:uid="{00000000-0005-0000-0000-00005B090000}"/>
    <cellStyle name="Normal 13 2 6 5" xfId="2396" xr:uid="{00000000-0005-0000-0000-00005C090000}"/>
    <cellStyle name="Normal 13 2 7" xfId="2397" xr:uid="{00000000-0005-0000-0000-00005D090000}"/>
    <cellStyle name="Normal 13 2 7 2" xfId="2398" xr:uid="{00000000-0005-0000-0000-00005E090000}"/>
    <cellStyle name="Normal 13 2 7 3" xfId="2399" xr:uid="{00000000-0005-0000-0000-00005F090000}"/>
    <cellStyle name="Normal 13 2 8" xfId="2400" xr:uid="{00000000-0005-0000-0000-000060090000}"/>
    <cellStyle name="Normal 13 2 8 2" xfId="2401" xr:uid="{00000000-0005-0000-0000-000061090000}"/>
    <cellStyle name="Normal 13 2 8 3" xfId="2402" xr:uid="{00000000-0005-0000-0000-000062090000}"/>
    <cellStyle name="Normal 13 2 9" xfId="2403" xr:uid="{00000000-0005-0000-0000-000063090000}"/>
    <cellStyle name="Normal 13 2 9 2" xfId="2404" xr:uid="{00000000-0005-0000-0000-000064090000}"/>
    <cellStyle name="Normal 13 3" xfId="2405" xr:uid="{00000000-0005-0000-0000-000065090000}"/>
    <cellStyle name="Normal 13 3 2" xfId="2406" xr:uid="{00000000-0005-0000-0000-000066090000}"/>
    <cellStyle name="Normal 13 3 2 2" xfId="2407" xr:uid="{00000000-0005-0000-0000-000067090000}"/>
    <cellStyle name="Normal 13 3 2 2 2" xfId="2408" xr:uid="{00000000-0005-0000-0000-000068090000}"/>
    <cellStyle name="Normal 13 3 2 2 2 2" xfId="2409" xr:uid="{00000000-0005-0000-0000-000069090000}"/>
    <cellStyle name="Normal 13 3 2 2 2 3" xfId="2410" xr:uid="{00000000-0005-0000-0000-00006A090000}"/>
    <cellStyle name="Normal 13 3 2 2 3" xfId="2411" xr:uid="{00000000-0005-0000-0000-00006B090000}"/>
    <cellStyle name="Normal 13 3 2 2 3 2" xfId="2412" xr:uid="{00000000-0005-0000-0000-00006C090000}"/>
    <cellStyle name="Normal 13 3 2 2 4" xfId="2413" xr:uid="{00000000-0005-0000-0000-00006D090000}"/>
    <cellStyle name="Normal 13 3 2 2 5" xfId="2414" xr:uid="{00000000-0005-0000-0000-00006E090000}"/>
    <cellStyle name="Normal 13 3 2 3" xfId="2415" xr:uid="{00000000-0005-0000-0000-00006F090000}"/>
    <cellStyle name="Normal 13 3 2 3 2" xfId="2416" xr:uid="{00000000-0005-0000-0000-000070090000}"/>
    <cellStyle name="Normal 13 3 2 3 3" xfId="2417" xr:uid="{00000000-0005-0000-0000-000071090000}"/>
    <cellStyle name="Normal 13 3 2 4" xfId="2418" xr:uid="{00000000-0005-0000-0000-000072090000}"/>
    <cellStyle name="Normal 13 3 2 4 2" xfId="2419" xr:uid="{00000000-0005-0000-0000-000073090000}"/>
    <cellStyle name="Normal 13 3 2 5" xfId="2420" xr:uid="{00000000-0005-0000-0000-000074090000}"/>
    <cellStyle name="Normal 13 3 2 6" xfId="2421" xr:uid="{00000000-0005-0000-0000-000075090000}"/>
    <cellStyle name="Normal 13 3 3" xfId="2422" xr:uid="{00000000-0005-0000-0000-000076090000}"/>
    <cellStyle name="Normal 13 3 3 2" xfId="2423" xr:uid="{00000000-0005-0000-0000-000077090000}"/>
    <cellStyle name="Normal 13 3 3 2 2" xfId="2424" xr:uid="{00000000-0005-0000-0000-000078090000}"/>
    <cellStyle name="Normal 13 3 3 2 3" xfId="2425" xr:uid="{00000000-0005-0000-0000-000079090000}"/>
    <cellStyle name="Normal 13 3 3 3" xfId="2426" xr:uid="{00000000-0005-0000-0000-00007A090000}"/>
    <cellStyle name="Normal 13 3 3 3 2" xfId="2427" xr:uid="{00000000-0005-0000-0000-00007B090000}"/>
    <cellStyle name="Normal 13 3 3 4" xfId="2428" xr:uid="{00000000-0005-0000-0000-00007C090000}"/>
    <cellStyle name="Normal 13 3 3 5" xfId="2429" xr:uid="{00000000-0005-0000-0000-00007D090000}"/>
    <cellStyle name="Normal 13 3 4" xfId="2430" xr:uid="{00000000-0005-0000-0000-00007E090000}"/>
    <cellStyle name="Normal 13 3 4 2" xfId="2431" xr:uid="{00000000-0005-0000-0000-00007F090000}"/>
    <cellStyle name="Normal 13 3 4 3" xfId="2432" xr:uid="{00000000-0005-0000-0000-000080090000}"/>
    <cellStyle name="Normal 13 3 5" xfId="2433" xr:uid="{00000000-0005-0000-0000-000081090000}"/>
    <cellStyle name="Normal 13 3 5 2" xfId="2434" xr:uid="{00000000-0005-0000-0000-000082090000}"/>
    <cellStyle name="Normal 13 3 5 3" xfId="2435" xr:uid="{00000000-0005-0000-0000-000083090000}"/>
    <cellStyle name="Normal 13 3 6" xfId="2436" xr:uid="{00000000-0005-0000-0000-000084090000}"/>
    <cellStyle name="Normal 13 3 6 2" xfId="2437" xr:uid="{00000000-0005-0000-0000-000085090000}"/>
    <cellStyle name="Normal 13 3 7" xfId="2438" xr:uid="{00000000-0005-0000-0000-000086090000}"/>
    <cellStyle name="Normal 13 3 8" xfId="2439" xr:uid="{00000000-0005-0000-0000-000087090000}"/>
    <cellStyle name="Normal 13 4" xfId="2440" xr:uid="{00000000-0005-0000-0000-000088090000}"/>
    <cellStyle name="Normal 13 4 2" xfId="2441" xr:uid="{00000000-0005-0000-0000-000089090000}"/>
    <cellStyle name="Normal 13 4 2 2" xfId="2442" xr:uid="{00000000-0005-0000-0000-00008A090000}"/>
    <cellStyle name="Normal 13 4 2 2 2" xfId="2443" xr:uid="{00000000-0005-0000-0000-00008B090000}"/>
    <cellStyle name="Normal 13 4 2 2 3" xfId="2444" xr:uid="{00000000-0005-0000-0000-00008C090000}"/>
    <cellStyle name="Normal 13 4 2 3" xfId="2445" xr:uid="{00000000-0005-0000-0000-00008D090000}"/>
    <cellStyle name="Normal 13 4 2 3 2" xfId="2446" xr:uid="{00000000-0005-0000-0000-00008E090000}"/>
    <cellStyle name="Normal 13 4 2 4" xfId="2447" xr:uid="{00000000-0005-0000-0000-00008F090000}"/>
    <cellStyle name="Normal 13 4 2 5" xfId="2448" xr:uid="{00000000-0005-0000-0000-000090090000}"/>
    <cellStyle name="Normal 13 4 3" xfId="2449" xr:uid="{00000000-0005-0000-0000-000091090000}"/>
    <cellStyle name="Normal 13 4 3 2" xfId="2450" xr:uid="{00000000-0005-0000-0000-000092090000}"/>
    <cellStyle name="Normal 13 4 3 3" xfId="2451" xr:uid="{00000000-0005-0000-0000-000093090000}"/>
    <cellStyle name="Normal 13 4 4" xfId="2452" xr:uid="{00000000-0005-0000-0000-000094090000}"/>
    <cellStyle name="Normal 13 4 4 2" xfId="2453" xr:uid="{00000000-0005-0000-0000-000095090000}"/>
    <cellStyle name="Normal 13 4 5" xfId="2454" xr:uid="{00000000-0005-0000-0000-000096090000}"/>
    <cellStyle name="Normal 13 4 6" xfId="2455" xr:uid="{00000000-0005-0000-0000-000097090000}"/>
    <cellStyle name="Normal 13 5" xfId="2456" xr:uid="{00000000-0005-0000-0000-000098090000}"/>
    <cellStyle name="Normal 13 5 2" xfId="2457" xr:uid="{00000000-0005-0000-0000-000099090000}"/>
    <cellStyle name="Normal 13 5 2 2" xfId="2458" xr:uid="{00000000-0005-0000-0000-00009A090000}"/>
    <cellStyle name="Normal 13 5 2 2 2" xfId="2459" xr:uid="{00000000-0005-0000-0000-00009B090000}"/>
    <cellStyle name="Normal 13 5 2 2 3" xfId="2460" xr:uid="{00000000-0005-0000-0000-00009C090000}"/>
    <cellStyle name="Normal 13 5 2 3" xfId="2461" xr:uid="{00000000-0005-0000-0000-00009D090000}"/>
    <cellStyle name="Normal 13 5 2 3 2" xfId="2462" xr:uid="{00000000-0005-0000-0000-00009E090000}"/>
    <cellStyle name="Normal 13 5 2 4" xfId="2463" xr:uid="{00000000-0005-0000-0000-00009F090000}"/>
    <cellStyle name="Normal 13 5 2 5" xfId="2464" xr:uid="{00000000-0005-0000-0000-0000A0090000}"/>
    <cellStyle name="Normal 13 5 3" xfId="2465" xr:uid="{00000000-0005-0000-0000-0000A1090000}"/>
    <cellStyle name="Normal 13 5 3 2" xfId="2466" xr:uid="{00000000-0005-0000-0000-0000A2090000}"/>
    <cellStyle name="Normal 13 5 3 3" xfId="2467" xr:uid="{00000000-0005-0000-0000-0000A3090000}"/>
    <cellStyle name="Normal 13 5 4" xfId="2468" xr:uid="{00000000-0005-0000-0000-0000A4090000}"/>
    <cellStyle name="Normal 13 5 4 2" xfId="2469" xr:uid="{00000000-0005-0000-0000-0000A5090000}"/>
    <cellStyle name="Normal 13 5 5" xfId="2470" xr:uid="{00000000-0005-0000-0000-0000A6090000}"/>
    <cellStyle name="Normal 13 5 6" xfId="2471" xr:uid="{00000000-0005-0000-0000-0000A7090000}"/>
    <cellStyle name="Normal 13 6" xfId="2472" xr:uid="{00000000-0005-0000-0000-0000A8090000}"/>
    <cellStyle name="Normal 13 7" xfId="2473" xr:uid="{00000000-0005-0000-0000-0000A9090000}"/>
    <cellStyle name="Normal 13 7 2" xfId="2474" xr:uid="{00000000-0005-0000-0000-0000AA090000}"/>
    <cellStyle name="Normal 13 8" xfId="2475" xr:uid="{00000000-0005-0000-0000-0000AB090000}"/>
    <cellStyle name="Normal 13 9" xfId="2476" xr:uid="{00000000-0005-0000-0000-0000AC090000}"/>
    <cellStyle name="Normal 14" xfId="2477" xr:uid="{00000000-0005-0000-0000-0000AD090000}"/>
    <cellStyle name="Normal 14 2" xfId="2478" xr:uid="{00000000-0005-0000-0000-0000AE090000}"/>
    <cellStyle name="Normal 14 3" xfId="2479" xr:uid="{00000000-0005-0000-0000-0000AF090000}"/>
    <cellStyle name="Normal 14 4" xfId="2480" xr:uid="{00000000-0005-0000-0000-0000B0090000}"/>
    <cellStyle name="Normal 15" xfId="2481" xr:uid="{00000000-0005-0000-0000-0000B1090000}"/>
    <cellStyle name="Normal 15 10" xfId="2482" xr:uid="{00000000-0005-0000-0000-0000B2090000}"/>
    <cellStyle name="Normal 15 11" xfId="2483" xr:uid="{00000000-0005-0000-0000-0000B3090000}"/>
    <cellStyle name="Normal 15 2" xfId="2484" xr:uid="{00000000-0005-0000-0000-0000B4090000}"/>
    <cellStyle name="Normal 15 2 2" xfId="2485" xr:uid="{00000000-0005-0000-0000-0000B5090000}"/>
    <cellStyle name="Normal 15 2 2 2" xfId="2486" xr:uid="{00000000-0005-0000-0000-0000B6090000}"/>
    <cellStyle name="Normal 15 2 2 2 2" xfId="2487" xr:uid="{00000000-0005-0000-0000-0000B7090000}"/>
    <cellStyle name="Normal 15 2 2 2 2 2" xfId="2488" xr:uid="{00000000-0005-0000-0000-0000B8090000}"/>
    <cellStyle name="Normal 15 2 2 2 2 3" xfId="2489" xr:uid="{00000000-0005-0000-0000-0000B9090000}"/>
    <cellStyle name="Normal 15 2 2 2 3" xfId="2490" xr:uid="{00000000-0005-0000-0000-0000BA090000}"/>
    <cellStyle name="Normal 15 2 2 2 3 2" xfId="2491" xr:uid="{00000000-0005-0000-0000-0000BB090000}"/>
    <cellStyle name="Normal 15 2 2 2 4" xfId="2492" xr:uid="{00000000-0005-0000-0000-0000BC090000}"/>
    <cellStyle name="Normal 15 2 2 2 5" xfId="2493" xr:uid="{00000000-0005-0000-0000-0000BD090000}"/>
    <cellStyle name="Normal 15 2 2 3" xfId="2494" xr:uid="{00000000-0005-0000-0000-0000BE090000}"/>
    <cellStyle name="Normal 15 2 2 3 2" xfId="2495" xr:uid="{00000000-0005-0000-0000-0000BF090000}"/>
    <cellStyle name="Normal 15 2 2 3 3" xfId="2496" xr:uid="{00000000-0005-0000-0000-0000C0090000}"/>
    <cellStyle name="Normal 15 2 2 4" xfId="2497" xr:uid="{00000000-0005-0000-0000-0000C1090000}"/>
    <cellStyle name="Normal 15 2 2 4 2" xfId="2498" xr:uid="{00000000-0005-0000-0000-0000C2090000}"/>
    <cellStyle name="Normal 15 2 2 5" xfId="2499" xr:uid="{00000000-0005-0000-0000-0000C3090000}"/>
    <cellStyle name="Normal 15 2 2 6" xfId="2500" xr:uid="{00000000-0005-0000-0000-0000C4090000}"/>
    <cellStyle name="Normal 15 2 3" xfId="2501" xr:uid="{00000000-0005-0000-0000-0000C5090000}"/>
    <cellStyle name="Normal 15 2 3 2" xfId="2502" xr:uid="{00000000-0005-0000-0000-0000C6090000}"/>
    <cellStyle name="Normal 15 2 3 2 2" xfId="2503" xr:uid="{00000000-0005-0000-0000-0000C7090000}"/>
    <cellStyle name="Normal 15 2 3 2 3" xfId="2504" xr:uid="{00000000-0005-0000-0000-0000C8090000}"/>
    <cellStyle name="Normal 15 2 3 3" xfId="2505" xr:uid="{00000000-0005-0000-0000-0000C9090000}"/>
    <cellStyle name="Normal 15 2 3 3 2" xfId="2506" xr:uid="{00000000-0005-0000-0000-0000CA090000}"/>
    <cellStyle name="Normal 15 2 3 4" xfId="2507" xr:uid="{00000000-0005-0000-0000-0000CB090000}"/>
    <cellStyle name="Normal 15 2 3 5" xfId="2508" xr:uid="{00000000-0005-0000-0000-0000CC090000}"/>
    <cellStyle name="Normal 15 2 4" xfId="2509" xr:uid="{00000000-0005-0000-0000-0000CD090000}"/>
    <cellStyle name="Normal 15 2 4 2" xfId="2510" xr:uid="{00000000-0005-0000-0000-0000CE090000}"/>
    <cellStyle name="Normal 15 2 4 3" xfId="2511" xr:uid="{00000000-0005-0000-0000-0000CF090000}"/>
    <cellStyle name="Normal 15 2 5" xfId="2512" xr:uid="{00000000-0005-0000-0000-0000D0090000}"/>
    <cellStyle name="Normal 15 2 5 2" xfId="2513" xr:uid="{00000000-0005-0000-0000-0000D1090000}"/>
    <cellStyle name="Normal 15 2 5 3" xfId="2514" xr:uid="{00000000-0005-0000-0000-0000D2090000}"/>
    <cellStyle name="Normal 15 2 6" xfId="2515" xr:uid="{00000000-0005-0000-0000-0000D3090000}"/>
    <cellStyle name="Normal 15 2 6 2" xfId="2516" xr:uid="{00000000-0005-0000-0000-0000D4090000}"/>
    <cellStyle name="Normal 15 2 7" xfId="2517" xr:uid="{00000000-0005-0000-0000-0000D5090000}"/>
    <cellStyle name="Normal 15 2 8" xfId="2518" xr:uid="{00000000-0005-0000-0000-0000D6090000}"/>
    <cellStyle name="Normal 15 3" xfId="2519" xr:uid="{00000000-0005-0000-0000-0000D7090000}"/>
    <cellStyle name="Normal 15 3 2" xfId="2520" xr:uid="{00000000-0005-0000-0000-0000D8090000}"/>
    <cellStyle name="Normal 15 3 2 2" xfId="2521" xr:uid="{00000000-0005-0000-0000-0000D9090000}"/>
    <cellStyle name="Normal 15 3 2 2 2" xfId="2522" xr:uid="{00000000-0005-0000-0000-0000DA090000}"/>
    <cellStyle name="Normal 15 3 2 2 3" xfId="2523" xr:uid="{00000000-0005-0000-0000-0000DB090000}"/>
    <cellStyle name="Normal 15 3 2 3" xfId="2524" xr:uid="{00000000-0005-0000-0000-0000DC090000}"/>
    <cellStyle name="Normal 15 3 2 3 2" xfId="2525" xr:uid="{00000000-0005-0000-0000-0000DD090000}"/>
    <cellStyle name="Normal 15 3 2 4" xfId="2526" xr:uid="{00000000-0005-0000-0000-0000DE090000}"/>
    <cellStyle name="Normal 15 3 2 5" xfId="2527" xr:uid="{00000000-0005-0000-0000-0000DF090000}"/>
    <cellStyle name="Normal 15 3 3" xfId="2528" xr:uid="{00000000-0005-0000-0000-0000E0090000}"/>
    <cellStyle name="Normal 15 3 3 2" xfId="2529" xr:uid="{00000000-0005-0000-0000-0000E1090000}"/>
    <cellStyle name="Normal 15 3 3 3" xfId="2530" xr:uid="{00000000-0005-0000-0000-0000E2090000}"/>
    <cellStyle name="Normal 15 3 4" xfId="2531" xr:uid="{00000000-0005-0000-0000-0000E3090000}"/>
    <cellStyle name="Normal 15 3 4 2" xfId="2532" xr:uid="{00000000-0005-0000-0000-0000E4090000}"/>
    <cellStyle name="Normal 15 3 5" xfId="2533" xr:uid="{00000000-0005-0000-0000-0000E5090000}"/>
    <cellStyle name="Normal 15 3 6" xfId="2534" xr:uid="{00000000-0005-0000-0000-0000E6090000}"/>
    <cellStyle name="Normal 15 4" xfId="2535" xr:uid="{00000000-0005-0000-0000-0000E7090000}"/>
    <cellStyle name="Normal 15 4 2" xfId="2536" xr:uid="{00000000-0005-0000-0000-0000E8090000}"/>
    <cellStyle name="Normal 15 4 2 2" xfId="2537" xr:uid="{00000000-0005-0000-0000-0000E9090000}"/>
    <cellStyle name="Normal 15 4 2 2 2" xfId="2538" xr:uid="{00000000-0005-0000-0000-0000EA090000}"/>
    <cellStyle name="Normal 15 4 2 2 3" xfId="2539" xr:uid="{00000000-0005-0000-0000-0000EB090000}"/>
    <cellStyle name="Normal 15 4 2 3" xfId="2540" xr:uid="{00000000-0005-0000-0000-0000EC090000}"/>
    <cellStyle name="Normal 15 4 2 3 2" xfId="2541" xr:uid="{00000000-0005-0000-0000-0000ED090000}"/>
    <cellStyle name="Normal 15 4 2 4" xfId="2542" xr:uid="{00000000-0005-0000-0000-0000EE090000}"/>
    <cellStyle name="Normal 15 4 2 5" xfId="2543" xr:uid="{00000000-0005-0000-0000-0000EF090000}"/>
    <cellStyle name="Normal 15 4 3" xfId="2544" xr:uid="{00000000-0005-0000-0000-0000F0090000}"/>
    <cellStyle name="Normal 15 4 3 2" xfId="2545" xr:uid="{00000000-0005-0000-0000-0000F1090000}"/>
    <cellStyle name="Normal 15 4 3 3" xfId="2546" xr:uid="{00000000-0005-0000-0000-0000F2090000}"/>
    <cellStyle name="Normal 15 4 4" xfId="2547" xr:uid="{00000000-0005-0000-0000-0000F3090000}"/>
    <cellStyle name="Normal 15 4 4 2" xfId="2548" xr:uid="{00000000-0005-0000-0000-0000F4090000}"/>
    <cellStyle name="Normal 15 4 5" xfId="2549" xr:uid="{00000000-0005-0000-0000-0000F5090000}"/>
    <cellStyle name="Normal 15 4 6" xfId="2550" xr:uid="{00000000-0005-0000-0000-0000F6090000}"/>
    <cellStyle name="Normal 15 5" xfId="2551" xr:uid="{00000000-0005-0000-0000-0000F7090000}"/>
    <cellStyle name="Normal 15 5 2" xfId="2552" xr:uid="{00000000-0005-0000-0000-0000F8090000}"/>
    <cellStyle name="Normal 15 5 2 2" xfId="2553" xr:uid="{00000000-0005-0000-0000-0000F9090000}"/>
    <cellStyle name="Normal 15 5 2 3" xfId="2554" xr:uid="{00000000-0005-0000-0000-0000FA090000}"/>
    <cellStyle name="Normal 15 5 3" xfId="2555" xr:uid="{00000000-0005-0000-0000-0000FB090000}"/>
    <cellStyle name="Normal 15 5 3 2" xfId="2556" xr:uid="{00000000-0005-0000-0000-0000FC090000}"/>
    <cellStyle name="Normal 15 5 4" xfId="2557" xr:uid="{00000000-0005-0000-0000-0000FD090000}"/>
    <cellStyle name="Normal 15 5 5" xfId="2558" xr:uid="{00000000-0005-0000-0000-0000FE090000}"/>
    <cellStyle name="Normal 15 6" xfId="2559" xr:uid="{00000000-0005-0000-0000-0000FF090000}"/>
    <cellStyle name="Normal 15 6 2" xfId="2560" xr:uid="{00000000-0005-0000-0000-0000000A0000}"/>
    <cellStyle name="Normal 15 6 2 2" xfId="2561" xr:uid="{00000000-0005-0000-0000-0000010A0000}"/>
    <cellStyle name="Normal 15 6 2 3" xfId="2562" xr:uid="{00000000-0005-0000-0000-0000020A0000}"/>
    <cellStyle name="Normal 15 6 3" xfId="2563" xr:uid="{00000000-0005-0000-0000-0000030A0000}"/>
    <cellStyle name="Normal 15 6 3 2" xfId="2564" xr:uid="{00000000-0005-0000-0000-0000040A0000}"/>
    <cellStyle name="Normal 15 6 4" xfId="2565" xr:uid="{00000000-0005-0000-0000-0000050A0000}"/>
    <cellStyle name="Normal 15 6 5" xfId="2566" xr:uid="{00000000-0005-0000-0000-0000060A0000}"/>
    <cellStyle name="Normal 15 7" xfId="2567" xr:uid="{00000000-0005-0000-0000-0000070A0000}"/>
    <cellStyle name="Normal 15 7 2" xfId="2568" xr:uid="{00000000-0005-0000-0000-0000080A0000}"/>
    <cellStyle name="Normal 15 7 3" xfId="2569" xr:uid="{00000000-0005-0000-0000-0000090A0000}"/>
    <cellStyle name="Normal 15 8" xfId="2570" xr:uid="{00000000-0005-0000-0000-00000A0A0000}"/>
    <cellStyle name="Normal 15 8 2" xfId="2571" xr:uid="{00000000-0005-0000-0000-00000B0A0000}"/>
    <cellStyle name="Normal 15 8 3" xfId="2572" xr:uid="{00000000-0005-0000-0000-00000C0A0000}"/>
    <cellStyle name="Normal 15 9" xfId="2573" xr:uid="{00000000-0005-0000-0000-00000D0A0000}"/>
    <cellStyle name="Normal 15 9 2" xfId="2574" xr:uid="{00000000-0005-0000-0000-00000E0A0000}"/>
    <cellStyle name="Normal 16" xfId="2575" xr:uid="{00000000-0005-0000-0000-00000F0A0000}"/>
    <cellStyle name="Normal 16 10" xfId="2576" xr:uid="{00000000-0005-0000-0000-0000100A0000}"/>
    <cellStyle name="Normal 16 11" xfId="2577" xr:uid="{00000000-0005-0000-0000-0000110A0000}"/>
    <cellStyle name="Normal 16 2" xfId="2578" xr:uid="{00000000-0005-0000-0000-0000120A0000}"/>
    <cellStyle name="Normal 16 3" xfId="2579" xr:uid="{00000000-0005-0000-0000-0000130A0000}"/>
    <cellStyle name="Normal 16 3 2" xfId="2580" xr:uid="{00000000-0005-0000-0000-0000140A0000}"/>
    <cellStyle name="Normal 16 3 2 2" xfId="2581" xr:uid="{00000000-0005-0000-0000-0000150A0000}"/>
    <cellStyle name="Normal 16 3 2 2 2" xfId="2582" xr:uid="{00000000-0005-0000-0000-0000160A0000}"/>
    <cellStyle name="Normal 16 3 2 2 2 2" xfId="2583" xr:uid="{00000000-0005-0000-0000-0000170A0000}"/>
    <cellStyle name="Normal 16 3 2 2 2 3" xfId="2584" xr:uid="{00000000-0005-0000-0000-0000180A0000}"/>
    <cellStyle name="Normal 16 3 2 2 3" xfId="2585" xr:uid="{00000000-0005-0000-0000-0000190A0000}"/>
    <cellStyle name="Normal 16 3 2 2 3 2" xfId="2586" xr:uid="{00000000-0005-0000-0000-00001A0A0000}"/>
    <cellStyle name="Normal 16 3 2 2 4" xfId="2587" xr:uid="{00000000-0005-0000-0000-00001B0A0000}"/>
    <cellStyle name="Normal 16 3 2 2 5" xfId="2588" xr:uid="{00000000-0005-0000-0000-00001C0A0000}"/>
    <cellStyle name="Normal 16 3 2 3" xfId="2589" xr:uid="{00000000-0005-0000-0000-00001D0A0000}"/>
    <cellStyle name="Normal 16 3 2 3 2" xfId="2590" xr:uid="{00000000-0005-0000-0000-00001E0A0000}"/>
    <cellStyle name="Normal 16 3 2 3 3" xfId="2591" xr:uid="{00000000-0005-0000-0000-00001F0A0000}"/>
    <cellStyle name="Normal 16 3 2 4" xfId="2592" xr:uid="{00000000-0005-0000-0000-0000200A0000}"/>
    <cellStyle name="Normal 16 3 2 4 2" xfId="2593" xr:uid="{00000000-0005-0000-0000-0000210A0000}"/>
    <cellStyle name="Normal 16 3 2 5" xfId="2594" xr:uid="{00000000-0005-0000-0000-0000220A0000}"/>
    <cellStyle name="Normal 16 3 2 6" xfId="2595" xr:uid="{00000000-0005-0000-0000-0000230A0000}"/>
    <cellStyle name="Normal 16 3 3" xfId="2596" xr:uid="{00000000-0005-0000-0000-0000240A0000}"/>
    <cellStyle name="Normal 16 3 3 2" xfId="2597" xr:uid="{00000000-0005-0000-0000-0000250A0000}"/>
    <cellStyle name="Normal 16 3 3 2 2" xfId="2598" xr:uid="{00000000-0005-0000-0000-0000260A0000}"/>
    <cellStyle name="Normal 16 3 3 2 3" xfId="2599" xr:uid="{00000000-0005-0000-0000-0000270A0000}"/>
    <cellStyle name="Normal 16 3 3 3" xfId="2600" xr:uid="{00000000-0005-0000-0000-0000280A0000}"/>
    <cellStyle name="Normal 16 3 3 3 2" xfId="2601" xr:uid="{00000000-0005-0000-0000-0000290A0000}"/>
    <cellStyle name="Normal 16 3 3 4" xfId="2602" xr:uid="{00000000-0005-0000-0000-00002A0A0000}"/>
    <cellStyle name="Normal 16 3 3 5" xfId="2603" xr:uid="{00000000-0005-0000-0000-00002B0A0000}"/>
    <cellStyle name="Normal 16 3 4" xfId="2604" xr:uid="{00000000-0005-0000-0000-00002C0A0000}"/>
    <cellStyle name="Normal 16 3 4 2" xfId="2605" xr:uid="{00000000-0005-0000-0000-00002D0A0000}"/>
    <cellStyle name="Normal 16 3 4 3" xfId="2606" xr:uid="{00000000-0005-0000-0000-00002E0A0000}"/>
    <cellStyle name="Normal 16 3 5" xfId="2607" xr:uid="{00000000-0005-0000-0000-00002F0A0000}"/>
    <cellStyle name="Normal 16 3 5 2" xfId="2608" xr:uid="{00000000-0005-0000-0000-0000300A0000}"/>
    <cellStyle name="Normal 16 3 5 3" xfId="2609" xr:uid="{00000000-0005-0000-0000-0000310A0000}"/>
    <cellStyle name="Normal 16 3 6" xfId="2610" xr:uid="{00000000-0005-0000-0000-0000320A0000}"/>
    <cellStyle name="Normal 16 3 6 2" xfId="2611" xr:uid="{00000000-0005-0000-0000-0000330A0000}"/>
    <cellStyle name="Normal 16 3 7" xfId="2612" xr:uid="{00000000-0005-0000-0000-0000340A0000}"/>
    <cellStyle name="Normal 16 3 8" xfId="2613" xr:uid="{00000000-0005-0000-0000-0000350A0000}"/>
    <cellStyle name="Normal 16 4" xfId="2614" xr:uid="{00000000-0005-0000-0000-0000360A0000}"/>
    <cellStyle name="Normal 16 4 2" xfId="2615" xr:uid="{00000000-0005-0000-0000-0000370A0000}"/>
    <cellStyle name="Normal 16 4 2 2" xfId="2616" xr:uid="{00000000-0005-0000-0000-0000380A0000}"/>
    <cellStyle name="Normal 16 4 2 2 2" xfId="2617" xr:uid="{00000000-0005-0000-0000-0000390A0000}"/>
    <cellStyle name="Normal 16 4 2 2 3" xfId="2618" xr:uid="{00000000-0005-0000-0000-00003A0A0000}"/>
    <cellStyle name="Normal 16 4 2 3" xfId="2619" xr:uid="{00000000-0005-0000-0000-00003B0A0000}"/>
    <cellStyle name="Normal 16 4 2 3 2" xfId="2620" xr:uid="{00000000-0005-0000-0000-00003C0A0000}"/>
    <cellStyle name="Normal 16 4 2 4" xfId="2621" xr:uid="{00000000-0005-0000-0000-00003D0A0000}"/>
    <cellStyle name="Normal 16 4 2 5" xfId="2622" xr:uid="{00000000-0005-0000-0000-00003E0A0000}"/>
    <cellStyle name="Normal 16 4 3" xfId="2623" xr:uid="{00000000-0005-0000-0000-00003F0A0000}"/>
    <cellStyle name="Normal 16 4 3 2" xfId="2624" xr:uid="{00000000-0005-0000-0000-0000400A0000}"/>
    <cellStyle name="Normal 16 4 3 3" xfId="2625" xr:uid="{00000000-0005-0000-0000-0000410A0000}"/>
    <cellStyle name="Normal 16 4 4" xfId="2626" xr:uid="{00000000-0005-0000-0000-0000420A0000}"/>
    <cellStyle name="Normal 16 4 4 2" xfId="2627" xr:uid="{00000000-0005-0000-0000-0000430A0000}"/>
    <cellStyle name="Normal 16 4 5" xfId="2628" xr:uid="{00000000-0005-0000-0000-0000440A0000}"/>
    <cellStyle name="Normal 16 4 6" xfId="2629" xr:uid="{00000000-0005-0000-0000-0000450A0000}"/>
    <cellStyle name="Normal 16 5" xfId="2630" xr:uid="{00000000-0005-0000-0000-0000460A0000}"/>
    <cellStyle name="Normal 16 5 2" xfId="2631" xr:uid="{00000000-0005-0000-0000-0000470A0000}"/>
    <cellStyle name="Normal 16 5 2 2" xfId="2632" xr:uid="{00000000-0005-0000-0000-0000480A0000}"/>
    <cellStyle name="Normal 16 5 2 3" xfId="2633" xr:uid="{00000000-0005-0000-0000-0000490A0000}"/>
    <cellStyle name="Normal 16 5 3" xfId="2634" xr:uid="{00000000-0005-0000-0000-00004A0A0000}"/>
    <cellStyle name="Normal 16 5 3 2" xfId="2635" xr:uid="{00000000-0005-0000-0000-00004B0A0000}"/>
    <cellStyle name="Normal 16 5 4" xfId="2636" xr:uid="{00000000-0005-0000-0000-00004C0A0000}"/>
    <cellStyle name="Normal 16 5 5" xfId="2637" xr:uid="{00000000-0005-0000-0000-00004D0A0000}"/>
    <cellStyle name="Normal 16 6" xfId="2638" xr:uid="{00000000-0005-0000-0000-00004E0A0000}"/>
    <cellStyle name="Normal 16 6 2" xfId="2639" xr:uid="{00000000-0005-0000-0000-00004F0A0000}"/>
    <cellStyle name="Normal 16 6 2 2" xfId="2640" xr:uid="{00000000-0005-0000-0000-0000500A0000}"/>
    <cellStyle name="Normal 16 6 2 3" xfId="2641" xr:uid="{00000000-0005-0000-0000-0000510A0000}"/>
    <cellStyle name="Normal 16 6 3" xfId="2642" xr:uid="{00000000-0005-0000-0000-0000520A0000}"/>
    <cellStyle name="Normal 16 6 3 2" xfId="2643" xr:uid="{00000000-0005-0000-0000-0000530A0000}"/>
    <cellStyle name="Normal 16 6 4" xfId="2644" xr:uid="{00000000-0005-0000-0000-0000540A0000}"/>
    <cellStyle name="Normal 16 6 5" xfId="2645" xr:uid="{00000000-0005-0000-0000-0000550A0000}"/>
    <cellStyle name="Normal 16 7" xfId="2646" xr:uid="{00000000-0005-0000-0000-0000560A0000}"/>
    <cellStyle name="Normal 16 7 2" xfId="2647" xr:uid="{00000000-0005-0000-0000-0000570A0000}"/>
    <cellStyle name="Normal 16 7 3" xfId="2648" xr:uid="{00000000-0005-0000-0000-0000580A0000}"/>
    <cellStyle name="Normal 16 8" xfId="2649" xr:uid="{00000000-0005-0000-0000-0000590A0000}"/>
    <cellStyle name="Normal 16 8 2" xfId="2650" xr:uid="{00000000-0005-0000-0000-00005A0A0000}"/>
    <cellStyle name="Normal 16 8 3" xfId="2651" xr:uid="{00000000-0005-0000-0000-00005B0A0000}"/>
    <cellStyle name="Normal 16 9" xfId="2652" xr:uid="{00000000-0005-0000-0000-00005C0A0000}"/>
    <cellStyle name="Normal 16 9 2" xfId="2653" xr:uid="{00000000-0005-0000-0000-00005D0A0000}"/>
    <cellStyle name="Normal 17" xfId="2654" xr:uid="{00000000-0005-0000-0000-00005E0A0000}"/>
    <cellStyle name="Normal 18" xfId="2655" xr:uid="{00000000-0005-0000-0000-00005F0A0000}"/>
    <cellStyle name="Normal 18 2" xfId="2656" xr:uid="{00000000-0005-0000-0000-0000600A0000}"/>
    <cellStyle name="Normal 18 2 2" xfId="2657" xr:uid="{00000000-0005-0000-0000-0000610A0000}"/>
    <cellStyle name="Normal 18 2 2 2" xfId="2658" xr:uid="{00000000-0005-0000-0000-0000620A0000}"/>
    <cellStyle name="Normal 18 2 2 2 2" xfId="2659" xr:uid="{00000000-0005-0000-0000-0000630A0000}"/>
    <cellStyle name="Normal 18 2 2 2 3" xfId="2660" xr:uid="{00000000-0005-0000-0000-0000640A0000}"/>
    <cellStyle name="Normal 18 2 2 3" xfId="2661" xr:uid="{00000000-0005-0000-0000-0000650A0000}"/>
    <cellStyle name="Normal 18 2 2 3 2" xfId="2662" xr:uid="{00000000-0005-0000-0000-0000660A0000}"/>
    <cellStyle name="Normal 18 2 2 4" xfId="2663" xr:uid="{00000000-0005-0000-0000-0000670A0000}"/>
    <cellStyle name="Normal 18 2 2 5" xfId="2664" xr:uid="{00000000-0005-0000-0000-0000680A0000}"/>
    <cellStyle name="Normal 18 2 3" xfId="2665" xr:uid="{00000000-0005-0000-0000-0000690A0000}"/>
    <cellStyle name="Normal 18 2 3 2" xfId="2666" xr:uid="{00000000-0005-0000-0000-00006A0A0000}"/>
    <cellStyle name="Normal 18 2 3 3" xfId="2667" xr:uid="{00000000-0005-0000-0000-00006B0A0000}"/>
    <cellStyle name="Normal 18 2 4" xfId="2668" xr:uid="{00000000-0005-0000-0000-00006C0A0000}"/>
    <cellStyle name="Normal 18 2 4 2" xfId="2669" xr:uid="{00000000-0005-0000-0000-00006D0A0000}"/>
    <cellStyle name="Normal 18 2 5" xfId="2670" xr:uid="{00000000-0005-0000-0000-00006E0A0000}"/>
    <cellStyle name="Normal 18 2 6" xfId="2671" xr:uid="{00000000-0005-0000-0000-00006F0A0000}"/>
    <cellStyle name="Normal 18 3" xfId="2672" xr:uid="{00000000-0005-0000-0000-0000700A0000}"/>
    <cellStyle name="Normal 18 3 2" xfId="2673" xr:uid="{00000000-0005-0000-0000-0000710A0000}"/>
    <cellStyle name="Normal 18 3 2 2" xfId="2674" xr:uid="{00000000-0005-0000-0000-0000720A0000}"/>
    <cellStyle name="Normal 18 3 2 3" xfId="2675" xr:uid="{00000000-0005-0000-0000-0000730A0000}"/>
    <cellStyle name="Normal 18 3 3" xfId="2676" xr:uid="{00000000-0005-0000-0000-0000740A0000}"/>
    <cellStyle name="Normal 18 3 3 2" xfId="2677" xr:uid="{00000000-0005-0000-0000-0000750A0000}"/>
    <cellStyle name="Normal 18 3 4" xfId="2678" xr:uid="{00000000-0005-0000-0000-0000760A0000}"/>
    <cellStyle name="Normal 18 3 5" xfId="2679" xr:uid="{00000000-0005-0000-0000-0000770A0000}"/>
    <cellStyle name="Normal 18 4" xfId="2680" xr:uid="{00000000-0005-0000-0000-0000780A0000}"/>
    <cellStyle name="Normal 18 4 2" xfId="2681" xr:uid="{00000000-0005-0000-0000-0000790A0000}"/>
    <cellStyle name="Normal 18 4 3" xfId="2682" xr:uid="{00000000-0005-0000-0000-00007A0A0000}"/>
    <cellStyle name="Normal 18 5" xfId="2683" xr:uid="{00000000-0005-0000-0000-00007B0A0000}"/>
    <cellStyle name="Normal 18 5 2" xfId="2684" xr:uid="{00000000-0005-0000-0000-00007C0A0000}"/>
    <cellStyle name="Normal 18 5 3" xfId="2685" xr:uid="{00000000-0005-0000-0000-00007D0A0000}"/>
    <cellStyle name="Normal 18 6" xfId="2686" xr:uid="{00000000-0005-0000-0000-00007E0A0000}"/>
    <cellStyle name="Normal 18 6 2" xfId="2687" xr:uid="{00000000-0005-0000-0000-00007F0A0000}"/>
    <cellStyle name="Normal 18 7" xfId="2688" xr:uid="{00000000-0005-0000-0000-0000800A0000}"/>
    <cellStyle name="Normal 18 8" xfId="2689" xr:uid="{00000000-0005-0000-0000-0000810A0000}"/>
    <cellStyle name="Normal 19" xfId="2690" xr:uid="{00000000-0005-0000-0000-0000820A0000}"/>
    <cellStyle name="Normal 2" xfId="2691" xr:uid="{00000000-0005-0000-0000-0000830A0000}"/>
    <cellStyle name="Normal 2 2" xfId="2692" xr:uid="{00000000-0005-0000-0000-0000840A0000}"/>
    <cellStyle name="Normal 2 2 2" xfId="2693" xr:uid="{00000000-0005-0000-0000-0000850A0000}"/>
    <cellStyle name="Normal 2 2 3" xfId="2694" xr:uid="{00000000-0005-0000-0000-0000860A0000}"/>
    <cellStyle name="Normal 2 2 4" xfId="2695" xr:uid="{00000000-0005-0000-0000-0000870A0000}"/>
    <cellStyle name="Normal 2 2 5" xfId="2696" xr:uid="{00000000-0005-0000-0000-0000880A0000}"/>
    <cellStyle name="Normal 2 3" xfId="2697" xr:uid="{00000000-0005-0000-0000-0000890A0000}"/>
    <cellStyle name="Normal 2 4" xfId="2698" xr:uid="{00000000-0005-0000-0000-00008A0A0000}"/>
    <cellStyle name="Normal 2 5" xfId="2699" xr:uid="{00000000-0005-0000-0000-00008B0A0000}"/>
    <cellStyle name="Normal 2 6" xfId="2700" xr:uid="{00000000-0005-0000-0000-00008C0A0000}"/>
    <cellStyle name="Normal 20" xfId="2701" xr:uid="{00000000-0005-0000-0000-00008D0A0000}"/>
    <cellStyle name="Normal 20 2" xfId="2702" xr:uid="{00000000-0005-0000-0000-00008E0A0000}"/>
    <cellStyle name="Normal 20 2 2" xfId="2703" xr:uid="{00000000-0005-0000-0000-00008F0A0000}"/>
    <cellStyle name="Normal 20 2 3" xfId="2704" xr:uid="{00000000-0005-0000-0000-0000900A0000}"/>
    <cellStyle name="Normal 20 3" xfId="2705" xr:uid="{00000000-0005-0000-0000-0000910A0000}"/>
    <cellStyle name="Normal 20 3 2" xfId="2706" xr:uid="{00000000-0005-0000-0000-0000920A0000}"/>
    <cellStyle name="Normal 20 4" xfId="2707" xr:uid="{00000000-0005-0000-0000-0000930A0000}"/>
    <cellStyle name="Normal 20 5" xfId="2708" xr:uid="{00000000-0005-0000-0000-0000940A0000}"/>
    <cellStyle name="Normal 21" xfId="2709" xr:uid="{00000000-0005-0000-0000-0000950A0000}"/>
    <cellStyle name="Normal 22" xfId="2710" xr:uid="{00000000-0005-0000-0000-0000960A0000}"/>
    <cellStyle name="Normal 22 2" xfId="2711" xr:uid="{00000000-0005-0000-0000-0000970A0000}"/>
    <cellStyle name="Normal 22 3" xfId="2712" xr:uid="{00000000-0005-0000-0000-0000980A0000}"/>
    <cellStyle name="Normal 23" xfId="2713" xr:uid="{00000000-0005-0000-0000-0000990A0000}"/>
    <cellStyle name="Normal 24" xfId="2714" xr:uid="{00000000-0005-0000-0000-00009A0A0000}"/>
    <cellStyle name="Normal 25" xfId="2715" xr:uid="{00000000-0005-0000-0000-00009B0A0000}"/>
    <cellStyle name="Normal 26" xfId="2716" xr:uid="{00000000-0005-0000-0000-00009C0A0000}"/>
    <cellStyle name="Normal 26 2" xfId="2717" xr:uid="{00000000-0005-0000-0000-00009D0A0000}"/>
    <cellStyle name="Normal 26 3" xfId="2718" xr:uid="{00000000-0005-0000-0000-00009E0A0000}"/>
    <cellStyle name="Normal 26 3 2" xfId="2719" xr:uid="{00000000-0005-0000-0000-00009F0A0000}"/>
    <cellStyle name="Normal 27" xfId="2720" xr:uid="{00000000-0005-0000-0000-0000A00A0000}"/>
    <cellStyle name="Normal 28" xfId="2721" xr:uid="{00000000-0005-0000-0000-0000A10A0000}"/>
    <cellStyle name="Normal 28 2" xfId="2722" xr:uid="{00000000-0005-0000-0000-0000A20A0000}"/>
    <cellStyle name="Normal 29" xfId="2723" xr:uid="{00000000-0005-0000-0000-0000A30A0000}"/>
    <cellStyle name="Normal 3" xfId="2724" xr:uid="{00000000-0005-0000-0000-0000A40A0000}"/>
    <cellStyle name="Normal 3 2" xfId="2725" xr:uid="{00000000-0005-0000-0000-0000A50A0000}"/>
    <cellStyle name="Normal 3 2 2" xfId="2726" xr:uid="{00000000-0005-0000-0000-0000A60A0000}"/>
    <cellStyle name="Normal 3 2 3" xfId="2727" xr:uid="{00000000-0005-0000-0000-0000A70A0000}"/>
    <cellStyle name="Normal 3 2 4" xfId="2728" xr:uid="{00000000-0005-0000-0000-0000A80A0000}"/>
    <cellStyle name="Normal 3 2 5" xfId="2729" xr:uid="{00000000-0005-0000-0000-0000A90A0000}"/>
    <cellStyle name="Normal 3 2 6" xfId="2730" xr:uid="{00000000-0005-0000-0000-0000AA0A0000}"/>
    <cellStyle name="Normal 3 2 7" xfId="2731" xr:uid="{00000000-0005-0000-0000-0000AB0A0000}"/>
    <cellStyle name="Normal 3 3" xfId="2732" xr:uid="{00000000-0005-0000-0000-0000AC0A0000}"/>
    <cellStyle name="Normal 3 3 2" xfId="2733" xr:uid="{00000000-0005-0000-0000-0000AD0A0000}"/>
    <cellStyle name="Normal 3 3 3" xfId="2734" xr:uid="{00000000-0005-0000-0000-0000AE0A0000}"/>
    <cellStyle name="Normal 3 3 4" xfId="2735" xr:uid="{00000000-0005-0000-0000-0000AF0A0000}"/>
    <cellStyle name="Normal 3 3 5" xfId="2736" xr:uid="{00000000-0005-0000-0000-0000B00A0000}"/>
    <cellStyle name="Normal 3 3 6" xfId="2737" xr:uid="{00000000-0005-0000-0000-0000B10A0000}"/>
    <cellStyle name="Normal 3 4" xfId="2738" xr:uid="{00000000-0005-0000-0000-0000B20A0000}"/>
    <cellStyle name="Normal 3 4 2" xfId="2739" xr:uid="{00000000-0005-0000-0000-0000B30A0000}"/>
    <cellStyle name="Normal 3 4 3" xfId="2740" xr:uid="{00000000-0005-0000-0000-0000B40A0000}"/>
    <cellStyle name="Normal 3 5" xfId="2741" xr:uid="{00000000-0005-0000-0000-0000B50A0000}"/>
    <cellStyle name="Normal 3 5 2" xfId="2742" xr:uid="{00000000-0005-0000-0000-0000B60A0000}"/>
    <cellStyle name="Normal 3 5 3" xfId="2743" xr:uid="{00000000-0005-0000-0000-0000B70A0000}"/>
    <cellStyle name="Normal 3 6" xfId="2744" xr:uid="{00000000-0005-0000-0000-0000B80A0000}"/>
    <cellStyle name="Normal 3 7" xfId="2745" xr:uid="{00000000-0005-0000-0000-0000B90A0000}"/>
    <cellStyle name="Normal 30" xfId="2746" xr:uid="{00000000-0005-0000-0000-0000BA0A0000}"/>
    <cellStyle name="Normal 31" xfId="2747" xr:uid="{00000000-0005-0000-0000-0000BB0A0000}"/>
    <cellStyle name="Normal 32" xfId="2748" xr:uid="{00000000-0005-0000-0000-0000BC0A0000}"/>
    <cellStyle name="Normal 33" xfId="2749" xr:uid="{00000000-0005-0000-0000-0000BD0A0000}"/>
    <cellStyle name="Normal 4" xfId="2750" xr:uid="{00000000-0005-0000-0000-0000BE0A0000}"/>
    <cellStyle name="Normal 4 2" xfId="2751" xr:uid="{00000000-0005-0000-0000-0000BF0A0000}"/>
    <cellStyle name="Normal 4 2 2" xfId="2752" xr:uid="{00000000-0005-0000-0000-0000C00A0000}"/>
    <cellStyle name="Normal 4 2 2 2" xfId="2753" xr:uid="{00000000-0005-0000-0000-0000C10A0000}"/>
    <cellStyle name="Normal 4 2 2 3" xfId="2754" xr:uid="{00000000-0005-0000-0000-0000C20A0000}"/>
    <cellStyle name="Normal 4 2 3" xfId="2755" xr:uid="{00000000-0005-0000-0000-0000C30A0000}"/>
    <cellStyle name="Normal 4 3" xfId="2756" xr:uid="{00000000-0005-0000-0000-0000C40A0000}"/>
    <cellStyle name="Normal 4 3 2" xfId="2757" xr:uid="{00000000-0005-0000-0000-0000C50A0000}"/>
    <cellStyle name="Normal 4 3 3" xfId="2758" xr:uid="{00000000-0005-0000-0000-0000C60A0000}"/>
    <cellStyle name="Normal 4 4" xfId="2759" xr:uid="{00000000-0005-0000-0000-0000C70A0000}"/>
    <cellStyle name="Normal 4 5" xfId="2760" xr:uid="{00000000-0005-0000-0000-0000C80A0000}"/>
    <cellStyle name="Normal 4 6" xfId="2761" xr:uid="{00000000-0005-0000-0000-0000C90A0000}"/>
    <cellStyle name="Normal 4 7" xfId="2762" xr:uid="{00000000-0005-0000-0000-0000CA0A0000}"/>
    <cellStyle name="Normal 4 8" xfId="2763" xr:uid="{00000000-0005-0000-0000-0000CB0A0000}"/>
    <cellStyle name="Normal 5" xfId="2764" xr:uid="{00000000-0005-0000-0000-0000CC0A0000}"/>
    <cellStyle name="Normal 5 2" xfId="2765" xr:uid="{00000000-0005-0000-0000-0000CD0A0000}"/>
    <cellStyle name="Normal 5 3" xfId="2766" xr:uid="{00000000-0005-0000-0000-0000CE0A0000}"/>
    <cellStyle name="Normal 5 4" xfId="2767" xr:uid="{00000000-0005-0000-0000-0000CF0A0000}"/>
    <cellStyle name="Normal 5 5" xfId="2768" xr:uid="{00000000-0005-0000-0000-0000D00A0000}"/>
    <cellStyle name="Normal 6" xfId="2769" xr:uid="{00000000-0005-0000-0000-0000D10A0000}"/>
    <cellStyle name="Normal 6 2" xfId="2770" xr:uid="{00000000-0005-0000-0000-0000D20A0000}"/>
    <cellStyle name="Normal 6 2 2" xfId="2771" xr:uid="{00000000-0005-0000-0000-0000D30A0000}"/>
    <cellStyle name="Normal 6 2 3" xfId="2772" xr:uid="{00000000-0005-0000-0000-0000D40A0000}"/>
    <cellStyle name="Normal 6 2 4" xfId="2773" xr:uid="{00000000-0005-0000-0000-0000D50A0000}"/>
    <cellStyle name="Normal 6 3" xfId="2774" xr:uid="{00000000-0005-0000-0000-0000D60A0000}"/>
    <cellStyle name="Normal 6 4" xfId="2775" xr:uid="{00000000-0005-0000-0000-0000D70A0000}"/>
    <cellStyle name="Normal 6 5" xfId="2776" xr:uid="{00000000-0005-0000-0000-0000D80A0000}"/>
    <cellStyle name="Normal 6 6" xfId="3130" xr:uid="{00000000-0005-0000-0000-0000D90A0000}"/>
    <cellStyle name="Normal 7" xfId="2777" xr:uid="{00000000-0005-0000-0000-0000DA0A0000}"/>
    <cellStyle name="Normal 7 2" xfId="2778" xr:uid="{00000000-0005-0000-0000-0000DB0A0000}"/>
    <cellStyle name="Normal 7 2 2" xfId="2779" xr:uid="{00000000-0005-0000-0000-0000DC0A0000}"/>
    <cellStyle name="Normal 7 2 2 2" xfId="2780" xr:uid="{00000000-0005-0000-0000-0000DD0A0000}"/>
    <cellStyle name="Normal 7 2 2 3" xfId="2781" xr:uid="{00000000-0005-0000-0000-0000DE0A0000}"/>
    <cellStyle name="Normal 7 2 2 4" xfId="2782" xr:uid="{00000000-0005-0000-0000-0000DF0A0000}"/>
    <cellStyle name="Normal 7 2 2 5" xfId="2783" xr:uid="{00000000-0005-0000-0000-0000E00A0000}"/>
    <cellStyle name="Normal 7 2 3" xfId="2784" xr:uid="{00000000-0005-0000-0000-0000E10A0000}"/>
    <cellStyle name="Normal 7 2 3 2" xfId="2785" xr:uid="{00000000-0005-0000-0000-0000E20A0000}"/>
    <cellStyle name="Normal 7 2 3 3" xfId="2786" xr:uid="{00000000-0005-0000-0000-0000E30A0000}"/>
    <cellStyle name="Normal 7 2 3 4" xfId="2787" xr:uid="{00000000-0005-0000-0000-0000E40A0000}"/>
    <cellStyle name="Normal 7 2 4" xfId="2788" xr:uid="{00000000-0005-0000-0000-0000E50A0000}"/>
    <cellStyle name="Normal 7 2 4 2" xfId="2789" xr:uid="{00000000-0005-0000-0000-0000E60A0000}"/>
    <cellStyle name="Normal 7 2 4 3" xfId="2790" xr:uid="{00000000-0005-0000-0000-0000E70A0000}"/>
    <cellStyle name="Normal 7 2 4 4" xfId="3131" xr:uid="{00000000-0005-0000-0000-0000E80A0000}"/>
    <cellStyle name="Normal 7 2 5" xfId="2791" xr:uid="{00000000-0005-0000-0000-0000E90A0000}"/>
    <cellStyle name="Normal 7 2 5 2" xfId="2792" xr:uid="{00000000-0005-0000-0000-0000EA0A0000}"/>
    <cellStyle name="Normal 7 2 5 3" xfId="2793" xr:uid="{00000000-0005-0000-0000-0000EB0A0000}"/>
    <cellStyle name="Normal 7 2 5 3 2" xfId="2794" xr:uid="{00000000-0005-0000-0000-0000EC0A0000}"/>
    <cellStyle name="Normal 7 2 5 4" xfId="2795" xr:uid="{00000000-0005-0000-0000-0000ED0A0000}"/>
    <cellStyle name="Normal 7 2 5 4 2" xfId="2796" xr:uid="{00000000-0005-0000-0000-0000EE0A0000}"/>
    <cellStyle name="Normal 7 2 5 5" xfId="3132" xr:uid="{00000000-0005-0000-0000-0000EF0A0000}"/>
    <cellStyle name="Normal 7 2 6" xfId="2797" xr:uid="{00000000-0005-0000-0000-0000F00A0000}"/>
    <cellStyle name="Normal 7 2 7" xfId="2798" xr:uid="{00000000-0005-0000-0000-0000F10A0000}"/>
    <cellStyle name="Normal 7 2 8" xfId="2799" xr:uid="{00000000-0005-0000-0000-0000F20A0000}"/>
    <cellStyle name="Normal 7 3" xfId="2800" xr:uid="{00000000-0005-0000-0000-0000F30A0000}"/>
    <cellStyle name="Normal 7 3 2" xfId="2801" xr:uid="{00000000-0005-0000-0000-0000F40A0000}"/>
    <cellStyle name="Normal 7 3 3" xfId="2802" xr:uid="{00000000-0005-0000-0000-0000F50A0000}"/>
    <cellStyle name="Normal 7 4" xfId="2803" xr:uid="{00000000-0005-0000-0000-0000F60A0000}"/>
    <cellStyle name="Normal 7 4 2" xfId="2804" xr:uid="{00000000-0005-0000-0000-0000F70A0000}"/>
    <cellStyle name="Normal 7 4 2 2" xfId="3133" xr:uid="{00000000-0005-0000-0000-0000F80A0000}"/>
    <cellStyle name="Normal 7 4 3" xfId="2805" xr:uid="{00000000-0005-0000-0000-0000F90A0000}"/>
    <cellStyle name="Normal 7 5" xfId="2806" xr:uid="{00000000-0005-0000-0000-0000FA0A0000}"/>
    <cellStyle name="Normal 7 5 2" xfId="2807" xr:uid="{00000000-0005-0000-0000-0000FB0A0000}"/>
    <cellStyle name="Normal 7 5 2 2" xfId="2808" xr:uid="{00000000-0005-0000-0000-0000FC0A0000}"/>
    <cellStyle name="Normal 7 5 3" xfId="2809" xr:uid="{00000000-0005-0000-0000-0000FD0A0000}"/>
    <cellStyle name="Normal 7 5 3 2" xfId="2810" xr:uid="{00000000-0005-0000-0000-0000FE0A0000}"/>
    <cellStyle name="Normal 7 5 4" xfId="3134" xr:uid="{00000000-0005-0000-0000-0000FF0A0000}"/>
    <cellStyle name="Normal 7 6" xfId="2811" xr:uid="{00000000-0005-0000-0000-0000000B0000}"/>
    <cellStyle name="Normal 7 7" xfId="2812" xr:uid="{00000000-0005-0000-0000-0000010B0000}"/>
    <cellStyle name="Normal 7 8" xfId="2813" xr:uid="{00000000-0005-0000-0000-0000020B0000}"/>
    <cellStyle name="Normal 7 9" xfId="2814" xr:uid="{00000000-0005-0000-0000-0000030B0000}"/>
    <cellStyle name="Normal 8" xfId="2815" xr:uid="{00000000-0005-0000-0000-0000040B0000}"/>
    <cellStyle name="Normal 8 2" xfId="2816" xr:uid="{00000000-0005-0000-0000-0000050B0000}"/>
    <cellStyle name="Normal 8 2 2" xfId="2817" xr:uid="{00000000-0005-0000-0000-0000060B0000}"/>
    <cellStyle name="Normal 8 2 3" xfId="2818" xr:uid="{00000000-0005-0000-0000-0000070B0000}"/>
    <cellStyle name="Normal 8 2 4" xfId="2819" xr:uid="{00000000-0005-0000-0000-0000080B0000}"/>
    <cellStyle name="Normal 8 2 5" xfId="2820" xr:uid="{00000000-0005-0000-0000-0000090B0000}"/>
    <cellStyle name="Normal 8 2 6" xfId="2821" xr:uid="{00000000-0005-0000-0000-00000A0B0000}"/>
    <cellStyle name="Normal 8 3" xfId="2822" xr:uid="{00000000-0005-0000-0000-00000B0B0000}"/>
    <cellStyle name="Normal 8 3 2" xfId="2823" xr:uid="{00000000-0005-0000-0000-00000C0B0000}"/>
    <cellStyle name="Normal 8 3 3" xfId="2824" xr:uid="{00000000-0005-0000-0000-00000D0B0000}"/>
    <cellStyle name="Normal 8 3 4" xfId="2825" xr:uid="{00000000-0005-0000-0000-00000E0B0000}"/>
    <cellStyle name="Normal 8 3 5" xfId="2826" xr:uid="{00000000-0005-0000-0000-00000F0B0000}"/>
    <cellStyle name="Normal 8 4" xfId="2827" xr:uid="{00000000-0005-0000-0000-0000100B0000}"/>
    <cellStyle name="Normal 8 4 2" xfId="2828" xr:uid="{00000000-0005-0000-0000-0000110B0000}"/>
    <cellStyle name="Normal 8 4 3" xfId="2829" xr:uid="{00000000-0005-0000-0000-0000120B0000}"/>
    <cellStyle name="Normal 8 5" xfId="2830" xr:uid="{00000000-0005-0000-0000-0000130B0000}"/>
    <cellStyle name="Normal 8 5 2" xfId="2831" xr:uid="{00000000-0005-0000-0000-0000140B0000}"/>
    <cellStyle name="Normal 8 5 2 2" xfId="2832" xr:uid="{00000000-0005-0000-0000-0000150B0000}"/>
    <cellStyle name="Normal 8 5 3" xfId="2833" xr:uid="{00000000-0005-0000-0000-0000160B0000}"/>
    <cellStyle name="Normal 8 6" xfId="2834" xr:uid="{00000000-0005-0000-0000-0000170B0000}"/>
    <cellStyle name="Normal 8 6 2" xfId="2835" xr:uid="{00000000-0005-0000-0000-0000180B0000}"/>
    <cellStyle name="Normal 8 6 2 2" xfId="2836" xr:uid="{00000000-0005-0000-0000-0000190B0000}"/>
    <cellStyle name="Normal 8 6 3" xfId="2837" xr:uid="{00000000-0005-0000-0000-00001A0B0000}"/>
    <cellStyle name="Normal 8 6 3 2" xfId="2838" xr:uid="{00000000-0005-0000-0000-00001B0B0000}"/>
    <cellStyle name="Normal 8 7" xfId="2839" xr:uid="{00000000-0005-0000-0000-00001C0B0000}"/>
    <cellStyle name="Normal 8 8" xfId="2840" xr:uid="{00000000-0005-0000-0000-00001D0B0000}"/>
    <cellStyle name="Normal 8 9" xfId="2841" xr:uid="{00000000-0005-0000-0000-00001E0B0000}"/>
    <cellStyle name="Normal 9" xfId="2842" xr:uid="{00000000-0005-0000-0000-00001F0B0000}"/>
    <cellStyle name="Normal 9 2" xfId="2843" xr:uid="{00000000-0005-0000-0000-0000200B0000}"/>
    <cellStyle name="Normal 9 2 2" xfId="2844" xr:uid="{00000000-0005-0000-0000-0000210B0000}"/>
    <cellStyle name="Normal 9 2 2 2" xfId="2845" xr:uid="{00000000-0005-0000-0000-0000220B0000}"/>
    <cellStyle name="Normal 9 2 3" xfId="2846" xr:uid="{00000000-0005-0000-0000-0000230B0000}"/>
    <cellStyle name="Normal 9 2 3 2" xfId="2847" xr:uid="{00000000-0005-0000-0000-0000240B0000}"/>
    <cellStyle name="Normal 9 3" xfId="2848" xr:uid="{00000000-0005-0000-0000-0000250B0000}"/>
    <cellStyle name="Normal 9 4" xfId="2849" xr:uid="{00000000-0005-0000-0000-0000260B0000}"/>
    <cellStyle name="Normal 9 4 2" xfId="2850" xr:uid="{00000000-0005-0000-0000-0000270B0000}"/>
    <cellStyle name="Normal 9 5" xfId="2851" xr:uid="{00000000-0005-0000-0000-0000280B0000}"/>
    <cellStyle name="Normal 9 5 2" xfId="2852" xr:uid="{00000000-0005-0000-0000-0000290B0000}"/>
    <cellStyle name="Normal 9 6" xfId="2853" xr:uid="{00000000-0005-0000-0000-00002A0B0000}"/>
    <cellStyle name="Normal_Waivers" xfId="2854" xr:uid="{00000000-0005-0000-0000-00002B0B0000}"/>
    <cellStyle name="Note" xfId="2855" builtinId="10" customBuiltin="1"/>
    <cellStyle name="Note 10" xfId="2856" xr:uid="{00000000-0005-0000-0000-00002D0B0000}"/>
    <cellStyle name="Note 11" xfId="2857" xr:uid="{00000000-0005-0000-0000-00002E0B0000}"/>
    <cellStyle name="Note 12" xfId="2858" xr:uid="{00000000-0005-0000-0000-00002F0B0000}"/>
    <cellStyle name="Note 13" xfId="2859" xr:uid="{00000000-0005-0000-0000-0000300B0000}"/>
    <cellStyle name="Note 14" xfId="2860" xr:uid="{00000000-0005-0000-0000-0000310B0000}"/>
    <cellStyle name="Note 15" xfId="2861" xr:uid="{00000000-0005-0000-0000-0000320B0000}"/>
    <cellStyle name="Note 2" xfId="2862" xr:uid="{00000000-0005-0000-0000-0000330B0000}"/>
    <cellStyle name="Note 2 2" xfId="2863" xr:uid="{00000000-0005-0000-0000-0000340B0000}"/>
    <cellStyle name="Note 2 2 2" xfId="2864" xr:uid="{00000000-0005-0000-0000-0000350B0000}"/>
    <cellStyle name="Note 2 3" xfId="2865" xr:uid="{00000000-0005-0000-0000-0000360B0000}"/>
    <cellStyle name="Note 2 3 2" xfId="2866" xr:uid="{00000000-0005-0000-0000-0000370B0000}"/>
    <cellStyle name="Note 2 3 2 2" xfId="2867" xr:uid="{00000000-0005-0000-0000-0000380B0000}"/>
    <cellStyle name="Note 2 3 3" xfId="2868" xr:uid="{00000000-0005-0000-0000-0000390B0000}"/>
    <cellStyle name="Note 2 3 4" xfId="2869" xr:uid="{00000000-0005-0000-0000-00003A0B0000}"/>
    <cellStyle name="Note 2 3 5" xfId="2870" xr:uid="{00000000-0005-0000-0000-00003B0B0000}"/>
    <cellStyle name="Note 2 3 6" xfId="2871" xr:uid="{00000000-0005-0000-0000-00003C0B0000}"/>
    <cellStyle name="Note 2 4" xfId="2872" xr:uid="{00000000-0005-0000-0000-00003D0B0000}"/>
    <cellStyle name="Note 2 4 2" xfId="2873" xr:uid="{00000000-0005-0000-0000-00003E0B0000}"/>
    <cellStyle name="Note 2 4 3" xfId="2874" xr:uid="{00000000-0005-0000-0000-00003F0B0000}"/>
    <cellStyle name="Note 2 4 4" xfId="2875" xr:uid="{00000000-0005-0000-0000-0000400B0000}"/>
    <cellStyle name="Note 2 4 5" xfId="2876" xr:uid="{00000000-0005-0000-0000-0000410B0000}"/>
    <cellStyle name="Note 2 5" xfId="2877" xr:uid="{00000000-0005-0000-0000-0000420B0000}"/>
    <cellStyle name="Note 2 5 2" xfId="2878" xr:uid="{00000000-0005-0000-0000-0000430B0000}"/>
    <cellStyle name="Note 2 5 3" xfId="2879" xr:uid="{00000000-0005-0000-0000-0000440B0000}"/>
    <cellStyle name="Note 2 6" xfId="2880" xr:uid="{00000000-0005-0000-0000-0000450B0000}"/>
    <cellStyle name="Note 3" xfId="2881" xr:uid="{00000000-0005-0000-0000-0000460B0000}"/>
    <cellStyle name="Note 3 2" xfId="2882" xr:uid="{00000000-0005-0000-0000-0000470B0000}"/>
    <cellStyle name="Note 3 3" xfId="2883" xr:uid="{00000000-0005-0000-0000-0000480B0000}"/>
    <cellStyle name="Note 3 4" xfId="2884" xr:uid="{00000000-0005-0000-0000-0000490B0000}"/>
    <cellStyle name="Note 3 5" xfId="2885" xr:uid="{00000000-0005-0000-0000-00004A0B0000}"/>
    <cellStyle name="Note 4" xfId="2886" xr:uid="{00000000-0005-0000-0000-00004B0B0000}"/>
    <cellStyle name="Note 4 2" xfId="2887" xr:uid="{00000000-0005-0000-0000-00004C0B0000}"/>
    <cellStyle name="Note 4 2 2" xfId="2888" xr:uid="{00000000-0005-0000-0000-00004D0B0000}"/>
    <cellStyle name="Note 4 2 3" xfId="2889" xr:uid="{00000000-0005-0000-0000-00004E0B0000}"/>
    <cellStyle name="Note 4 2 4" xfId="2890" xr:uid="{00000000-0005-0000-0000-00004F0B0000}"/>
    <cellStyle name="Note 4 3" xfId="2891" xr:uid="{00000000-0005-0000-0000-0000500B0000}"/>
    <cellStyle name="Note 4 3 2" xfId="2892" xr:uid="{00000000-0005-0000-0000-0000510B0000}"/>
    <cellStyle name="Note 4 3 3" xfId="2893" xr:uid="{00000000-0005-0000-0000-0000520B0000}"/>
    <cellStyle name="Note 4 3 4" xfId="2894" xr:uid="{00000000-0005-0000-0000-0000530B0000}"/>
    <cellStyle name="Note 4 4" xfId="2895" xr:uid="{00000000-0005-0000-0000-0000540B0000}"/>
    <cellStyle name="Note 5" xfId="2896" xr:uid="{00000000-0005-0000-0000-0000550B0000}"/>
    <cellStyle name="Note 5 2" xfId="2897" xr:uid="{00000000-0005-0000-0000-0000560B0000}"/>
    <cellStyle name="Note 5 2 2" xfId="2898" xr:uid="{00000000-0005-0000-0000-0000570B0000}"/>
    <cellStyle name="Note 5 2 3" xfId="2899" xr:uid="{00000000-0005-0000-0000-0000580B0000}"/>
    <cellStyle name="Note 5 3" xfId="2900" xr:uid="{00000000-0005-0000-0000-0000590B0000}"/>
    <cellStyle name="Note 5 3 2" xfId="2901" xr:uid="{00000000-0005-0000-0000-00005A0B0000}"/>
    <cellStyle name="Note 5 3 3" xfId="2902" xr:uid="{00000000-0005-0000-0000-00005B0B0000}"/>
    <cellStyle name="Note 5 4" xfId="2903" xr:uid="{00000000-0005-0000-0000-00005C0B0000}"/>
    <cellStyle name="Note 5 4 2" xfId="2904" xr:uid="{00000000-0005-0000-0000-00005D0B0000}"/>
    <cellStyle name="Note 5 4 2 2" xfId="2905" xr:uid="{00000000-0005-0000-0000-00005E0B0000}"/>
    <cellStyle name="Note 5 4 3" xfId="2906" xr:uid="{00000000-0005-0000-0000-00005F0B0000}"/>
    <cellStyle name="Note 5 4 3 2" xfId="2907" xr:uid="{00000000-0005-0000-0000-0000600B0000}"/>
    <cellStyle name="Note 6" xfId="2908" xr:uid="{00000000-0005-0000-0000-0000610B0000}"/>
    <cellStyle name="Note 6 2" xfId="2909" xr:uid="{00000000-0005-0000-0000-0000620B0000}"/>
    <cellStyle name="Note 6 3" xfId="2910" xr:uid="{00000000-0005-0000-0000-0000630B0000}"/>
    <cellStyle name="Note 6 4" xfId="2911" xr:uid="{00000000-0005-0000-0000-0000640B0000}"/>
    <cellStyle name="Note 7" xfId="2912" xr:uid="{00000000-0005-0000-0000-0000650B0000}"/>
    <cellStyle name="Note 7 2" xfId="2913" xr:uid="{00000000-0005-0000-0000-0000660B0000}"/>
    <cellStyle name="Note 7 3" xfId="2914" xr:uid="{00000000-0005-0000-0000-0000670B0000}"/>
    <cellStyle name="Note 8" xfId="2915" xr:uid="{00000000-0005-0000-0000-0000680B0000}"/>
    <cellStyle name="Note 8 2" xfId="2916" xr:uid="{00000000-0005-0000-0000-0000690B0000}"/>
    <cellStyle name="Note 9" xfId="2917" xr:uid="{00000000-0005-0000-0000-00006A0B0000}"/>
    <cellStyle name="Note 9 2" xfId="2918" xr:uid="{00000000-0005-0000-0000-00006B0B0000}"/>
    <cellStyle name="Note 9 3" xfId="2919" xr:uid="{00000000-0005-0000-0000-00006C0B0000}"/>
    <cellStyle name="Note 9 3 2" xfId="2920" xr:uid="{00000000-0005-0000-0000-00006D0B0000}"/>
    <cellStyle name="Note 9 4" xfId="2921" xr:uid="{00000000-0005-0000-0000-00006E0B0000}"/>
    <cellStyle name="Note 9 4 2" xfId="2922" xr:uid="{00000000-0005-0000-0000-00006F0B0000}"/>
    <cellStyle name="Output" xfId="2923" builtinId="21" customBuiltin="1"/>
    <cellStyle name="Output 10" xfId="2924" xr:uid="{00000000-0005-0000-0000-0000710B0000}"/>
    <cellStyle name="Output 10 2" xfId="2925" xr:uid="{00000000-0005-0000-0000-0000720B0000}"/>
    <cellStyle name="Output 10 3" xfId="2926" xr:uid="{00000000-0005-0000-0000-0000730B0000}"/>
    <cellStyle name="Output 11" xfId="2927" xr:uid="{00000000-0005-0000-0000-0000740B0000}"/>
    <cellStyle name="Output 12" xfId="2928" xr:uid="{00000000-0005-0000-0000-0000750B0000}"/>
    <cellStyle name="Output 13" xfId="2929" xr:uid="{00000000-0005-0000-0000-0000760B0000}"/>
    <cellStyle name="Output 14" xfId="2930" xr:uid="{00000000-0005-0000-0000-0000770B0000}"/>
    <cellStyle name="Output 2" xfId="2931" xr:uid="{00000000-0005-0000-0000-0000780B0000}"/>
    <cellStyle name="Output 2 2" xfId="2932" xr:uid="{00000000-0005-0000-0000-0000790B0000}"/>
    <cellStyle name="Output 2 2 2" xfId="2933" xr:uid="{00000000-0005-0000-0000-00007A0B0000}"/>
    <cellStyle name="Output 2 2 3" xfId="2934" xr:uid="{00000000-0005-0000-0000-00007B0B0000}"/>
    <cellStyle name="Output 2 2 4" xfId="2935" xr:uid="{00000000-0005-0000-0000-00007C0B0000}"/>
    <cellStyle name="Output 2 2 5" xfId="2936" xr:uid="{00000000-0005-0000-0000-00007D0B0000}"/>
    <cellStyle name="Output 2 3" xfId="2937" xr:uid="{00000000-0005-0000-0000-00007E0B0000}"/>
    <cellStyle name="Output 2 3 2" xfId="2938" xr:uid="{00000000-0005-0000-0000-00007F0B0000}"/>
    <cellStyle name="Output 2 3 3" xfId="2939" xr:uid="{00000000-0005-0000-0000-0000800B0000}"/>
    <cellStyle name="Output 2 4" xfId="2940" xr:uid="{00000000-0005-0000-0000-0000810B0000}"/>
    <cellStyle name="Output 2 5" xfId="2941" xr:uid="{00000000-0005-0000-0000-0000820B0000}"/>
    <cellStyle name="Output 3" xfId="2942" xr:uid="{00000000-0005-0000-0000-0000830B0000}"/>
    <cellStyle name="Output 3 2" xfId="2943" xr:uid="{00000000-0005-0000-0000-0000840B0000}"/>
    <cellStyle name="Output 3 3" xfId="2944" xr:uid="{00000000-0005-0000-0000-0000850B0000}"/>
    <cellStyle name="Output 3 4" xfId="2945" xr:uid="{00000000-0005-0000-0000-0000860B0000}"/>
    <cellStyle name="Output 4" xfId="2946" xr:uid="{00000000-0005-0000-0000-0000870B0000}"/>
    <cellStyle name="Output 4 2" xfId="2947" xr:uid="{00000000-0005-0000-0000-0000880B0000}"/>
    <cellStyle name="Output 4 3" xfId="2948" xr:uid="{00000000-0005-0000-0000-0000890B0000}"/>
    <cellStyle name="Output 4 4" xfId="2949" xr:uid="{00000000-0005-0000-0000-00008A0B0000}"/>
    <cellStyle name="Output 5" xfId="2950" xr:uid="{00000000-0005-0000-0000-00008B0B0000}"/>
    <cellStyle name="Output 5 2" xfId="2951" xr:uid="{00000000-0005-0000-0000-00008C0B0000}"/>
    <cellStyle name="Output 5 2 2" xfId="2952" xr:uid="{00000000-0005-0000-0000-00008D0B0000}"/>
    <cellStyle name="Output 5 2 3" xfId="2953" xr:uid="{00000000-0005-0000-0000-00008E0B0000}"/>
    <cellStyle name="Output 5 2 4" xfId="2954" xr:uid="{00000000-0005-0000-0000-00008F0B0000}"/>
    <cellStyle name="Output 5 3" xfId="2955" xr:uid="{00000000-0005-0000-0000-0000900B0000}"/>
    <cellStyle name="Output 5 3 2" xfId="2956" xr:uid="{00000000-0005-0000-0000-0000910B0000}"/>
    <cellStyle name="Output 5 3 3" xfId="2957" xr:uid="{00000000-0005-0000-0000-0000920B0000}"/>
    <cellStyle name="Output 5 4" xfId="2958" xr:uid="{00000000-0005-0000-0000-0000930B0000}"/>
    <cellStyle name="Output 5 4 2" xfId="2959" xr:uid="{00000000-0005-0000-0000-0000940B0000}"/>
    <cellStyle name="Output 5 4 2 2" xfId="2960" xr:uid="{00000000-0005-0000-0000-0000950B0000}"/>
    <cellStyle name="Output 5 4 3" xfId="2961" xr:uid="{00000000-0005-0000-0000-0000960B0000}"/>
    <cellStyle name="Output 5 4 3 2" xfId="2962" xr:uid="{00000000-0005-0000-0000-0000970B0000}"/>
    <cellStyle name="Output 6" xfId="2963" xr:uid="{00000000-0005-0000-0000-0000980B0000}"/>
    <cellStyle name="Output 6 2" xfId="2964" xr:uid="{00000000-0005-0000-0000-0000990B0000}"/>
    <cellStyle name="Output 6 3" xfId="2965" xr:uid="{00000000-0005-0000-0000-00009A0B0000}"/>
    <cellStyle name="Output 7" xfId="2966" xr:uid="{00000000-0005-0000-0000-00009B0B0000}"/>
    <cellStyle name="Output 7 2" xfId="2967" xr:uid="{00000000-0005-0000-0000-00009C0B0000}"/>
    <cellStyle name="Output 8" xfId="2968" xr:uid="{00000000-0005-0000-0000-00009D0B0000}"/>
    <cellStyle name="Output 9" xfId="2969" xr:uid="{00000000-0005-0000-0000-00009E0B0000}"/>
    <cellStyle name="Output 9 2" xfId="2970" xr:uid="{00000000-0005-0000-0000-00009F0B0000}"/>
    <cellStyle name="Output 9 2 2" xfId="2971" xr:uid="{00000000-0005-0000-0000-0000A00B0000}"/>
    <cellStyle name="Output 9 3" xfId="2972" xr:uid="{00000000-0005-0000-0000-0000A10B0000}"/>
    <cellStyle name="Output 9 3 2" xfId="2973" xr:uid="{00000000-0005-0000-0000-0000A20B0000}"/>
    <cellStyle name="Per cent" xfId="2974" builtinId="5"/>
    <cellStyle name="Percent 2" xfId="2975" xr:uid="{00000000-0005-0000-0000-0000A40B0000}"/>
    <cellStyle name="Percent 3" xfId="2976" xr:uid="{00000000-0005-0000-0000-0000A50B0000}"/>
    <cellStyle name="Title" xfId="2977" builtinId="15" customBuiltin="1"/>
    <cellStyle name="Title 10" xfId="2978" xr:uid="{00000000-0005-0000-0000-0000A70B0000}"/>
    <cellStyle name="Title 10 2" xfId="2979" xr:uid="{00000000-0005-0000-0000-0000A80B0000}"/>
    <cellStyle name="Title 10 3" xfId="2980" xr:uid="{00000000-0005-0000-0000-0000A90B0000}"/>
    <cellStyle name="Title 11" xfId="2981" xr:uid="{00000000-0005-0000-0000-0000AA0B0000}"/>
    <cellStyle name="Title 12" xfId="2982" xr:uid="{00000000-0005-0000-0000-0000AB0B0000}"/>
    <cellStyle name="Title 13" xfId="2983" xr:uid="{00000000-0005-0000-0000-0000AC0B0000}"/>
    <cellStyle name="Title 14" xfId="2984" xr:uid="{00000000-0005-0000-0000-0000AD0B0000}"/>
    <cellStyle name="Title 2" xfId="2985" xr:uid="{00000000-0005-0000-0000-0000AE0B0000}"/>
    <cellStyle name="Title 2 2" xfId="2986" xr:uid="{00000000-0005-0000-0000-0000AF0B0000}"/>
    <cellStyle name="Title 2 2 2" xfId="2987" xr:uid="{00000000-0005-0000-0000-0000B00B0000}"/>
    <cellStyle name="Title 2 2 3" xfId="2988" xr:uid="{00000000-0005-0000-0000-0000B10B0000}"/>
    <cellStyle name="Title 2 2 4" xfId="2989" xr:uid="{00000000-0005-0000-0000-0000B20B0000}"/>
    <cellStyle name="Title 2 2 5" xfId="2990" xr:uid="{00000000-0005-0000-0000-0000B30B0000}"/>
    <cellStyle name="Title 2 3" xfId="2991" xr:uid="{00000000-0005-0000-0000-0000B40B0000}"/>
    <cellStyle name="Title 2 3 2" xfId="2992" xr:uid="{00000000-0005-0000-0000-0000B50B0000}"/>
    <cellStyle name="Title 2 3 3" xfId="2993" xr:uid="{00000000-0005-0000-0000-0000B60B0000}"/>
    <cellStyle name="Title 2 4" xfId="2994" xr:uid="{00000000-0005-0000-0000-0000B70B0000}"/>
    <cellStyle name="Title 2 5" xfId="2995" xr:uid="{00000000-0005-0000-0000-0000B80B0000}"/>
    <cellStyle name="Title 3" xfId="2996" xr:uid="{00000000-0005-0000-0000-0000B90B0000}"/>
    <cellStyle name="Title 3 2" xfId="2997" xr:uid="{00000000-0005-0000-0000-0000BA0B0000}"/>
    <cellStyle name="Title 3 3" xfId="2998" xr:uid="{00000000-0005-0000-0000-0000BB0B0000}"/>
    <cellStyle name="Title 3 4" xfId="2999" xr:uid="{00000000-0005-0000-0000-0000BC0B0000}"/>
    <cellStyle name="Title 4" xfId="3000" xr:uid="{00000000-0005-0000-0000-0000BD0B0000}"/>
    <cellStyle name="Title 4 2" xfId="3001" xr:uid="{00000000-0005-0000-0000-0000BE0B0000}"/>
    <cellStyle name="Title 4 3" xfId="3002" xr:uid="{00000000-0005-0000-0000-0000BF0B0000}"/>
    <cellStyle name="Title 4 4" xfId="3003" xr:uid="{00000000-0005-0000-0000-0000C00B0000}"/>
    <cellStyle name="Title 5" xfId="3004" xr:uid="{00000000-0005-0000-0000-0000C10B0000}"/>
    <cellStyle name="Title 5 2" xfId="3005" xr:uid="{00000000-0005-0000-0000-0000C20B0000}"/>
    <cellStyle name="Title 5 2 2" xfId="3006" xr:uid="{00000000-0005-0000-0000-0000C30B0000}"/>
    <cellStyle name="Title 5 2 3" xfId="3007" xr:uid="{00000000-0005-0000-0000-0000C40B0000}"/>
    <cellStyle name="Title 5 2 4" xfId="3008" xr:uid="{00000000-0005-0000-0000-0000C50B0000}"/>
    <cellStyle name="Title 5 3" xfId="3009" xr:uid="{00000000-0005-0000-0000-0000C60B0000}"/>
    <cellStyle name="Title 5 3 2" xfId="3010" xr:uid="{00000000-0005-0000-0000-0000C70B0000}"/>
    <cellStyle name="Title 5 3 3" xfId="3011" xr:uid="{00000000-0005-0000-0000-0000C80B0000}"/>
    <cellStyle name="Title 5 4" xfId="3012" xr:uid="{00000000-0005-0000-0000-0000C90B0000}"/>
    <cellStyle name="Title 5 4 2" xfId="3013" xr:uid="{00000000-0005-0000-0000-0000CA0B0000}"/>
    <cellStyle name="Title 5 4 2 2" xfId="3014" xr:uid="{00000000-0005-0000-0000-0000CB0B0000}"/>
    <cellStyle name="Title 5 4 3" xfId="3015" xr:uid="{00000000-0005-0000-0000-0000CC0B0000}"/>
    <cellStyle name="Title 5 4 3 2" xfId="3016" xr:uid="{00000000-0005-0000-0000-0000CD0B0000}"/>
    <cellStyle name="Title 6" xfId="3017" xr:uid="{00000000-0005-0000-0000-0000CE0B0000}"/>
    <cellStyle name="Title 6 2" xfId="3018" xr:uid="{00000000-0005-0000-0000-0000CF0B0000}"/>
    <cellStyle name="Title 6 3" xfId="3019" xr:uid="{00000000-0005-0000-0000-0000D00B0000}"/>
    <cellStyle name="Title 7" xfId="3020" xr:uid="{00000000-0005-0000-0000-0000D10B0000}"/>
    <cellStyle name="Title 7 2" xfId="3021" xr:uid="{00000000-0005-0000-0000-0000D20B0000}"/>
    <cellStyle name="Title 8" xfId="3022" xr:uid="{00000000-0005-0000-0000-0000D30B0000}"/>
    <cellStyle name="Title 9" xfId="3023" xr:uid="{00000000-0005-0000-0000-0000D40B0000}"/>
    <cellStyle name="Title 9 2" xfId="3024" xr:uid="{00000000-0005-0000-0000-0000D50B0000}"/>
    <cellStyle name="Title 9 2 2" xfId="3025" xr:uid="{00000000-0005-0000-0000-0000D60B0000}"/>
    <cellStyle name="Title 9 3" xfId="3026" xr:uid="{00000000-0005-0000-0000-0000D70B0000}"/>
    <cellStyle name="Title 9 3 2" xfId="3027" xr:uid="{00000000-0005-0000-0000-0000D80B0000}"/>
    <cellStyle name="Total" xfId="3028" builtinId="25" customBuiltin="1"/>
    <cellStyle name="Total 10" xfId="3029" xr:uid="{00000000-0005-0000-0000-0000DA0B0000}"/>
    <cellStyle name="Total 10 2" xfId="3030" xr:uid="{00000000-0005-0000-0000-0000DB0B0000}"/>
    <cellStyle name="Total 10 3" xfId="3031" xr:uid="{00000000-0005-0000-0000-0000DC0B0000}"/>
    <cellStyle name="Total 11" xfId="3032" xr:uid="{00000000-0005-0000-0000-0000DD0B0000}"/>
    <cellStyle name="Total 12" xfId="3033" xr:uid="{00000000-0005-0000-0000-0000DE0B0000}"/>
    <cellStyle name="Total 13" xfId="3034" xr:uid="{00000000-0005-0000-0000-0000DF0B0000}"/>
    <cellStyle name="Total 14" xfId="3035" xr:uid="{00000000-0005-0000-0000-0000E00B0000}"/>
    <cellStyle name="Total 2" xfId="3036" xr:uid="{00000000-0005-0000-0000-0000E10B0000}"/>
    <cellStyle name="Total 2 2" xfId="3037" xr:uid="{00000000-0005-0000-0000-0000E20B0000}"/>
    <cellStyle name="Total 2 2 2" xfId="3038" xr:uid="{00000000-0005-0000-0000-0000E30B0000}"/>
    <cellStyle name="Total 2 2 3" xfId="3039" xr:uid="{00000000-0005-0000-0000-0000E40B0000}"/>
    <cellStyle name="Total 2 2 4" xfId="3040" xr:uid="{00000000-0005-0000-0000-0000E50B0000}"/>
    <cellStyle name="Total 2 2 5" xfId="3041" xr:uid="{00000000-0005-0000-0000-0000E60B0000}"/>
    <cellStyle name="Total 2 3" xfId="3042" xr:uid="{00000000-0005-0000-0000-0000E70B0000}"/>
    <cellStyle name="Total 2 3 2" xfId="3043" xr:uid="{00000000-0005-0000-0000-0000E80B0000}"/>
    <cellStyle name="Total 2 3 3" xfId="3044" xr:uid="{00000000-0005-0000-0000-0000E90B0000}"/>
    <cellStyle name="Total 2 4" xfId="3045" xr:uid="{00000000-0005-0000-0000-0000EA0B0000}"/>
    <cellStyle name="Total 2 5" xfId="3046" xr:uid="{00000000-0005-0000-0000-0000EB0B0000}"/>
    <cellStyle name="Total 3" xfId="3047" xr:uid="{00000000-0005-0000-0000-0000EC0B0000}"/>
    <cellStyle name="Total 3 2" xfId="3048" xr:uid="{00000000-0005-0000-0000-0000ED0B0000}"/>
    <cellStyle name="Total 3 3" xfId="3049" xr:uid="{00000000-0005-0000-0000-0000EE0B0000}"/>
    <cellStyle name="Total 3 4" xfId="3050" xr:uid="{00000000-0005-0000-0000-0000EF0B0000}"/>
    <cellStyle name="Total 4" xfId="3051" xr:uid="{00000000-0005-0000-0000-0000F00B0000}"/>
    <cellStyle name="Total 4 2" xfId="3052" xr:uid="{00000000-0005-0000-0000-0000F10B0000}"/>
    <cellStyle name="Total 4 3" xfId="3053" xr:uid="{00000000-0005-0000-0000-0000F20B0000}"/>
    <cellStyle name="Total 4 4" xfId="3054" xr:uid="{00000000-0005-0000-0000-0000F30B0000}"/>
    <cellStyle name="Total 5" xfId="3055" xr:uid="{00000000-0005-0000-0000-0000F40B0000}"/>
    <cellStyle name="Total 5 2" xfId="3056" xr:uid="{00000000-0005-0000-0000-0000F50B0000}"/>
    <cellStyle name="Total 5 2 2" xfId="3057" xr:uid="{00000000-0005-0000-0000-0000F60B0000}"/>
    <cellStyle name="Total 5 2 3" xfId="3058" xr:uid="{00000000-0005-0000-0000-0000F70B0000}"/>
    <cellStyle name="Total 5 2 4" xfId="3059" xr:uid="{00000000-0005-0000-0000-0000F80B0000}"/>
    <cellStyle name="Total 5 3" xfId="3060" xr:uid="{00000000-0005-0000-0000-0000F90B0000}"/>
    <cellStyle name="Total 5 3 2" xfId="3061" xr:uid="{00000000-0005-0000-0000-0000FA0B0000}"/>
    <cellStyle name="Total 5 3 3" xfId="3062" xr:uid="{00000000-0005-0000-0000-0000FB0B0000}"/>
    <cellStyle name="Total 5 4" xfId="3063" xr:uid="{00000000-0005-0000-0000-0000FC0B0000}"/>
    <cellStyle name="Total 5 4 2" xfId="3064" xr:uid="{00000000-0005-0000-0000-0000FD0B0000}"/>
    <cellStyle name="Total 5 4 2 2" xfId="3065" xr:uid="{00000000-0005-0000-0000-0000FE0B0000}"/>
    <cellStyle name="Total 5 4 3" xfId="3066" xr:uid="{00000000-0005-0000-0000-0000FF0B0000}"/>
    <cellStyle name="Total 5 4 3 2" xfId="3067" xr:uid="{00000000-0005-0000-0000-0000000C0000}"/>
    <cellStyle name="Total 6" xfId="3068" xr:uid="{00000000-0005-0000-0000-0000010C0000}"/>
    <cellStyle name="Total 6 2" xfId="3069" xr:uid="{00000000-0005-0000-0000-0000020C0000}"/>
    <cellStyle name="Total 6 3" xfId="3070" xr:uid="{00000000-0005-0000-0000-0000030C0000}"/>
    <cellStyle name="Total 7" xfId="3071" xr:uid="{00000000-0005-0000-0000-0000040C0000}"/>
    <cellStyle name="Total 7 2" xfId="3072" xr:uid="{00000000-0005-0000-0000-0000050C0000}"/>
    <cellStyle name="Total 8" xfId="3073" xr:uid="{00000000-0005-0000-0000-0000060C0000}"/>
    <cellStyle name="Total 9" xfId="3074" xr:uid="{00000000-0005-0000-0000-0000070C0000}"/>
    <cellStyle name="Total 9 2" xfId="3075" xr:uid="{00000000-0005-0000-0000-0000080C0000}"/>
    <cellStyle name="Total 9 2 2" xfId="3076" xr:uid="{00000000-0005-0000-0000-0000090C0000}"/>
    <cellStyle name="Total 9 3" xfId="3077" xr:uid="{00000000-0005-0000-0000-00000A0C0000}"/>
    <cellStyle name="Total 9 3 2" xfId="3078" xr:uid="{00000000-0005-0000-0000-00000B0C0000}"/>
    <cellStyle name="Warning Text" xfId="3079" builtinId="11" customBuiltin="1"/>
    <cellStyle name="Warning Text 10" xfId="3080" xr:uid="{00000000-0005-0000-0000-00000D0C0000}"/>
    <cellStyle name="Warning Text 10 2" xfId="3081" xr:uid="{00000000-0005-0000-0000-00000E0C0000}"/>
    <cellStyle name="Warning Text 10 3" xfId="3082" xr:uid="{00000000-0005-0000-0000-00000F0C0000}"/>
    <cellStyle name="Warning Text 11" xfId="3083" xr:uid="{00000000-0005-0000-0000-0000100C0000}"/>
    <cellStyle name="Warning Text 12" xfId="3084" xr:uid="{00000000-0005-0000-0000-0000110C0000}"/>
    <cellStyle name="Warning Text 13" xfId="3085" xr:uid="{00000000-0005-0000-0000-0000120C0000}"/>
    <cellStyle name="Warning Text 14" xfId="3086" xr:uid="{00000000-0005-0000-0000-0000130C0000}"/>
    <cellStyle name="Warning Text 2" xfId="3087" xr:uid="{00000000-0005-0000-0000-0000140C0000}"/>
    <cellStyle name="Warning Text 2 2" xfId="3088" xr:uid="{00000000-0005-0000-0000-0000150C0000}"/>
    <cellStyle name="Warning Text 2 2 2" xfId="3089" xr:uid="{00000000-0005-0000-0000-0000160C0000}"/>
    <cellStyle name="Warning Text 2 2 3" xfId="3090" xr:uid="{00000000-0005-0000-0000-0000170C0000}"/>
    <cellStyle name="Warning Text 2 2 4" xfId="3091" xr:uid="{00000000-0005-0000-0000-0000180C0000}"/>
    <cellStyle name="Warning Text 2 2 5" xfId="3092" xr:uid="{00000000-0005-0000-0000-0000190C0000}"/>
    <cellStyle name="Warning Text 2 3" xfId="3093" xr:uid="{00000000-0005-0000-0000-00001A0C0000}"/>
    <cellStyle name="Warning Text 2 3 2" xfId="3094" xr:uid="{00000000-0005-0000-0000-00001B0C0000}"/>
    <cellStyle name="Warning Text 2 3 3" xfId="3095" xr:uid="{00000000-0005-0000-0000-00001C0C0000}"/>
    <cellStyle name="Warning Text 2 4" xfId="3096" xr:uid="{00000000-0005-0000-0000-00001D0C0000}"/>
    <cellStyle name="Warning Text 2 5" xfId="3097" xr:uid="{00000000-0005-0000-0000-00001E0C0000}"/>
    <cellStyle name="Warning Text 3" xfId="3098" xr:uid="{00000000-0005-0000-0000-00001F0C0000}"/>
    <cellStyle name="Warning Text 3 2" xfId="3099" xr:uid="{00000000-0005-0000-0000-0000200C0000}"/>
    <cellStyle name="Warning Text 3 3" xfId="3100" xr:uid="{00000000-0005-0000-0000-0000210C0000}"/>
    <cellStyle name="Warning Text 3 4" xfId="3101" xr:uid="{00000000-0005-0000-0000-0000220C0000}"/>
    <cellStyle name="Warning Text 4" xfId="3102" xr:uid="{00000000-0005-0000-0000-0000230C0000}"/>
    <cellStyle name="Warning Text 4 2" xfId="3103" xr:uid="{00000000-0005-0000-0000-0000240C0000}"/>
    <cellStyle name="Warning Text 4 3" xfId="3104" xr:uid="{00000000-0005-0000-0000-0000250C0000}"/>
    <cellStyle name="Warning Text 4 4" xfId="3105" xr:uid="{00000000-0005-0000-0000-0000260C0000}"/>
    <cellStyle name="Warning Text 5" xfId="3106" xr:uid="{00000000-0005-0000-0000-0000270C0000}"/>
    <cellStyle name="Warning Text 5 2" xfId="3107" xr:uid="{00000000-0005-0000-0000-0000280C0000}"/>
    <cellStyle name="Warning Text 5 2 2" xfId="3108" xr:uid="{00000000-0005-0000-0000-0000290C0000}"/>
    <cellStyle name="Warning Text 5 2 3" xfId="3109" xr:uid="{00000000-0005-0000-0000-00002A0C0000}"/>
    <cellStyle name="Warning Text 5 2 4" xfId="3110" xr:uid="{00000000-0005-0000-0000-00002B0C0000}"/>
    <cellStyle name="Warning Text 5 3" xfId="3111" xr:uid="{00000000-0005-0000-0000-00002C0C0000}"/>
    <cellStyle name="Warning Text 5 3 2" xfId="3112" xr:uid="{00000000-0005-0000-0000-00002D0C0000}"/>
    <cellStyle name="Warning Text 5 3 3" xfId="3113" xr:uid="{00000000-0005-0000-0000-00002E0C0000}"/>
    <cellStyle name="Warning Text 5 4" xfId="3114" xr:uid="{00000000-0005-0000-0000-00002F0C0000}"/>
    <cellStyle name="Warning Text 5 4 2" xfId="3115" xr:uid="{00000000-0005-0000-0000-0000300C0000}"/>
    <cellStyle name="Warning Text 5 4 2 2" xfId="3116" xr:uid="{00000000-0005-0000-0000-0000310C0000}"/>
    <cellStyle name="Warning Text 5 4 3" xfId="3117" xr:uid="{00000000-0005-0000-0000-0000320C0000}"/>
    <cellStyle name="Warning Text 5 4 3 2" xfId="3118" xr:uid="{00000000-0005-0000-0000-0000330C0000}"/>
    <cellStyle name="Warning Text 6" xfId="3119" xr:uid="{00000000-0005-0000-0000-0000340C0000}"/>
    <cellStyle name="Warning Text 6 2" xfId="3120" xr:uid="{00000000-0005-0000-0000-0000350C0000}"/>
    <cellStyle name="Warning Text 6 3" xfId="3121" xr:uid="{00000000-0005-0000-0000-0000360C0000}"/>
    <cellStyle name="Warning Text 7" xfId="3122" xr:uid="{00000000-0005-0000-0000-0000370C0000}"/>
    <cellStyle name="Warning Text 7 2" xfId="3123" xr:uid="{00000000-0005-0000-0000-0000380C0000}"/>
    <cellStyle name="Warning Text 8" xfId="3124" xr:uid="{00000000-0005-0000-0000-0000390C0000}"/>
    <cellStyle name="Warning Text 9" xfId="3125" xr:uid="{00000000-0005-0000-0000-00003A0C0000}"/>
    <cellStyle name="Warning Text 9 2" xfId="3126" xr:uid="{00000000-0005-0000-0000-00003B0C0000}"/>
    <cellStyle name="Warning Text 9 2 2" xfId="3127" xr:uid="{00000000-0005-0000-0000-00003C0C0000}"/>
    <cellStyle name="Warning Text 9 3" xfId="3128" xr:uid="{00000000-0005-0000-0000-00003D0C0000}"/>
    <cellStyle name="Warning Text 9 3 2" xfId="3129" xr:uid="{00000000-0005-0000-0000-00003E0C0000}"/>
  </cellStyles>
  <dxfs count="2">
    <dxf>
      <font>
        <b val="0"/>
        <i/>
        <condense val="0"/>
        <extend val="0"/>
        <color indexed="1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12" dropStyle="combo" dx="16" fmlaLink="$AE$14" fmlaRange="$Z$70:$Z$111" noThreeD="1" sel="1" val="0"/>
</file>

<file path=xl/ctrlProps/ctrlProp10.xml><?xml version="1.0" encoding="utf-8"?>
<formControlPr xmlns="http://schemas.microsoft.com/office/spreadsheetml/2009/9/main" objectType="Drop" dropLines="12" dropStyle="combo" dx="16" fmlaLink="$T$16" fmlaRange="$Z$74:$Z$120" noThreeD="1" sel="1" val="0"/>
</file>

<file path=xl/ctrlProps/ctrlProp11.xml><?xml version="1.0" encoding="utf-8"?>
<formControlPr xmlns="http://schemas.microsoft.com/office/spreadsheetml/2009/9/main" objectType="Drop" dropLines="12" dropStyle="combo" dx="16" fmlaLink="$T$17" fmlaRange="$Z$74:$Z$120" noThreeD="1" sel="1" val="0"/>
</file>

<file path=xl/ctrlProps/ctrlProp12.xml><?xml version="1.0" encoding="utf-8"?>
<formControlPr xmlns="http://schemas.microsoft.com/office/spreadsheetml/2009/9/main" objectType="Drop" dropLines="3" dropStyle="combo" dx="16" fmlaLink="$T$3" fmlaRange="$B$67:$B$69" sel="1" val="0"/>
</file>

<file path=xl/ctrlProps/ctrlProp13.xml><?xml version="1.0" encoding="utf-8"?>
<formControlPr xmlns="http://schemas.microsoft.com/office/spreadsheetml/2009/9/main" objectType="CheckBox" checked="Checked" fmlaLink="$Z$7" lockText="1" noThreeD="1"/>
</file>

<file path=xl/ctrlProps/ctrlProp14.xml><?xml version="1.0" encoding="utf-8"?>
<formControlPr xmlns="http://schemas.microsoft.com/office/spreadsheetml/2009/9/main" objectType="Drop" dropLines="24" dropStyle="combo" dx="16" fmlaLink="$S$14" fmlaRange="$B$73:$B$109" noThreeD="1" sel="1" val="0"/>
</file>

<file path=xl/ctrlProps/ctrlProp15.xml><?xml version="1.0" encoding="utf-8"?>
<formControlPr xmlns="http://schemas.microsoft.com/office/spreadsheetml/2009/9/main" objectType="Drop" dropLines="24" dropStyle="combo" dx="16" fmlaLink="$S$15" fmlaRange="$B$73:$B$109" noThreeD="1" sel="1" val="0"/>
</file>

<file path=xl/ctrlProps/ctrlProp16.xml><?xml version="1.0" encoding="utf-8"?>
<formControlPr xmlns="http://schemas.microsoft.com/office/spreadsheetml/2009/9/main" objectType="Drop" dropLines="24" dropStyle="combo" dx="16" fmlaLink="$S$16" fmlaRange="$B$73:$B$109" noThreeD="1" sel="1" val="0"/>
</file>

<file path=xl/ctrlProps/ctrlProp17.xml><?xml version="1.0" encoding="utf-8"?>
<formControlPr xmlns="http://schemas.microsoft.com/office/spreadsheetml/2009/9/main" objectType="Drop" dropLines="24" dropStyle="combo" dx="16" fmlaLink="$S$22" fmlaRange="$B$73:$B$109" noThreeD="1" sel="1" val="0"/>
</file>

<file path=xl/ctrlProps/ctrlProp18.xml><?xml version="1.0" encoding="utf-8"?>
<formControlPr xmlns="http://schemas.microsoft.com/office/spreadsheetml/2009/9/main" objectType="Drop" dropLines="24" dropStyle="combo" dx="16" fmlaLink="$S$23" fmlaRange="$B$73:$B$109" noThreeD="1" sel="1" val="0"/>
</file>

<file path=xl/ctrlProps/ctrlProp19.xml><?xml version="1.0" encoding="utf-8"?>
<formControlPr xmlns="http://schemas.microsoft.com/office/spreadsheetml/2009/9/main" objectType="Drop" dropLines="12" dropStyle="combo" dx="16" fmlaLink="$S$24" fmlaRange="$S$75:$S$123" noThreeD="1" sel="1" val="33"/>
</file>

<file path=xl/ctrlProps/ctrlProp2.xml><?xml version="1.0" encoding="utf-8"?>
<formControlPr xmlns="http://schemas.microsoft.com/office/spreadsheetml/2009/9/main" objectType="Drop" dropLines="12" dropStyle="combo" dx="16" fmlaLink="$AE$15" fmlaRange="$Z$70:$Z$111" noThreeD="1" sel="1" val="0"/>
</file>

<file path=xl/ctrlProps/ctrlProp20.xml><?xml version="1.0" encoding="utf-8"?>
<formControlPr xmlns="http://schemas.microsoft.com/office/spreadsheetml/2009/9/main" objectType="Drop" dropLines="24" dropStyle="combo" dx="16" fmlaLink="$S$24" fmlaRange="$B$73:$B$109" noThreeD="1" sel="1" val="0"/>
</file>

<file path=xl/ctrlProps/ctrlProp21.xml><?xml version="1.0" encoding="utf-8"?>
<formControlPr xmlns="http://schemas.microsoft.com/office/spreadsheetml/2009/9/main" objectType="Drop" dropLines="12" dropStyle="combo" dx="16" fmlaLink="$S$3" fmlaRange="$B$63:$B$66" noThreeD="1" sel="1" val="0"/>
</file>

<file path=xl/ctrlProps/ctrlProp22.xml><?xml version="1.0" encoding="utf-8"?>
<formControlPr xmlns="http://schemas.microsoft.com/office/spreadsheetml/2009/9/main" objectType="CheckBox" checked="Checked" fmlaLink="$Z$5" lockText="1" noThreeD="1"/>
</file>

<file path=xl/ctrlProps/ctrlProp23.xml><?xml version="1.0" encoding="utf-8"?>
<formControlPr xmlns="http://schemas.microsoft.com/office/spreadsheetml/2009/9/main" objectType="Drop" dropLines="12" dropStyle="combo" dx="16" fmlaLink="$S$11" fmlaRange="$N$90:$N$159" noThreeD="1" sel="1" val="0"/>
</file>

<file path=xl/ctrlProps/ctrlProp24.xml><?xml version="1.0" encoding="utf-8"?>
<formControlPr xmlns="http://schemas.microsoft.com/office/spreadsheetml/2009/9/main" objectType="Drop" dropLines="12" dropStyle="combo" dx="16" fmlaLink="$S$12" fmlaRange="$N$90:$N$159" noThreeD="1" sel="1" val="0"/>
</file>

<file path=xl/ctrlProps/ctrlProp25.xml><?xml version="1.0" encoding="utf-8"?>
<formControlPr xmlns="http://schemas.microsoft.com/office/spreadsheetml/2009/9/main" objectType="Drop" dropLines="12" dropStyle="combo" dx="16" fmlaLink="$S$13" fmlaRange="$N$90:$N$159" noThreeD="1" sel="1" val="0"/>
</file>

<file path=xl/ctrlProps/ctrlProp26.xml><?xml version="1.0" encoding="utf-8"?>
<formControlPr xmlns="http://schemas.microsoft.com/office/spreadsheetml/2009/9/main" objectType="Drop" dropLines="12" dropStyle="combo" dx="16" fmlaLink="$S$19" fmlaRange="$N$90:$N$159" noThreeD="1" sel="1" val="0"/>
</file>

<file path=xl/ctrlProps/ctrlProp27.xml><?xml version="1.0" encoding="utf-8"?>
<formControlPr xmlns="http://schemas.microsoft.com/office/spreadsheetml/2009/9/main" objectType="Drop" dropLines="12" dropStyle="combo" dx="16" fmlaLink="$S$20" fmlaRange="$N$90:$N$159" noThreeD="1" sel="1" val="0"/>
</file>

<file path=xl/ctrlProps/ctrlProp28.xml><?xml version="1.0" encoding="utf-8"?>
<formControlPr xmlns="http://schemas.microsoft.com/office/spreadsheetml/2009/9/main" objectType="Drop" dropLines="12" dropStyle="combo" dx="16" fmlaLink="$S$28" fmlaRange="$B$75:$C$85" noThreeD="1" sel="1" val="0"/>
</file>

<file path=xl/ctrlProps/ctrlProp29.xml><?xml version="1.0" encoding="utf-8"?>
<formControlPr xmlns="http://schemas.microsoft.com/office/spreadsheetml/2009/9/main" objectType="Drop" dropLines="12" dropStyle="combo" dx="16" fmlaLink="$S$21" fmlaRange="$N$90:$N$159" noThreeD="1" sel="1" val="0"/>
</file>

<file path=xl/ctrlProps/ctrlProp3.xml><?xml version="1.0" encoding="utf-8"?>
<formControlPr xmlns="http://schemas.microsoft.com/office/spreadsheetml/2009/9/main" objectType="Drop" dropLines="12" dropStyle="combo" dx="16" fmlaLink="$AE$16" fmlaRange="$Z$70:$Z$111" noThreeD="1" sel="1" val="0"/>
</file>

<file path=xl/ctrlProps/ctrlProp30.xml><?xml version="1.0" encoding="utf-8"?>
<formControlPr xmlns="http://schemas.microsoft.com/office/spreadsheetml/2009/9/main" objectType="Drop" dropLines="4" dropStyle="combo" dx="16" fmlaLink="$S$7" fmlaRange="$B$63:$B$66" sel="1" val="0"/>
</file>

<file path=xl/ctrlProps/ctrlProp31.xml><?xml version="1.0" encoding="utf-8"?>
<formControlPr xmlns="http://schemas.microsoft.com/office/spreadsheetml/2009/9/main" objectType="Drop" dropLines="3" dropStyle="combo" dx="16" fmlaLink="$W$7" fmlaRange="$B$63:$B$65" sel="1" val="0"/>
</file>

<file path=xl/ctrlProps/ctrlProp32.xml><?xml version="1.0" encoding="utf-8"?>
<formControlPr xmlns="http://schemas.microsoft.com/office/spreadsheetml/2009/9/main" objectType="Drop" dropLines="12" dropStyle="combo" dx="16" fmlaLink="$W$11" fmlaRange="$P$72:$P$77" noThreeD="1" sel="1" val="0"/>
</file>

<file path=xl/ctrlProps/ctrlProp33.xml><?xml version="1.0" encoding="utf-8"?>
<formControlPr xmlns="http://schemas.microsoft.com/office/spreadsheetml/2009/9/main" objectType="Drop" dropLines="12" dropStyle="combo" dx="16" fmlaLink="$W$12" fmlaRange="$P$72:$P$77" noThreeD="1" sel="1" val="0"/>
</file>

<file path=xl/ctrlProps/ctrlProp34.xml><?xml version="1.0" encoding="utf-8"?>
<formControlPr xmlns="http://schemas.microsoft.com/office/spreadsheetml/2009/9/main" objectType="Drop" dropLines="12" dropStyle="combo" dx="16" fmlaLink="$W$13" fmlaRange="$P$72:$P$77" noThreeD="1" sel="1" val="0"/>
</file>

<file path=xl/ctrlProps/ctrlProp35.xml><?xml version="1.0" encoding="utf-8"?>
<formControlPr xmlns="http://schemas.microsoft.com/office/spreadsheetml/2009/9/main" objectType="Drop" dropLines="12" dropStyle="combo" dx="16" fmlaLink="$W$18" fmlaRange="$P$72:$P$77" noThreeD="1" sel="1" val="0"/>
</file>

<file path=xl/ctrlProps/ctrlProp36.xml><?xml version="1.0" encoding="utf-8"?>
<formControlPr xmlns="http://schemas.microsoft.com/office/spreadsheetml/2009/9/main" objectType="Drop" dropLines="12" dropStyle="combo" dx="16" fmlaLink="$W$19" fmlaRange="$P$72:$P$77" noThreeD="1" sel="1" val="0"/>
</file>

<file path=xl/ctrlProps/ctrlProp37.xml><?xml version="1.0" encoding="utf-8"?>
<formControlPr xmlns="http://schemas.microsoft.com/office/spreadsheetml/2009/9/main" objectType="Drop" dropLines="12" dropStyle="combo" dx="16" fmlaLink="$W$20" fmlaRange="$P$72:$P$77" noThreeD="1" sel="1" val="0"/>
</file>

<file path=xl/ctrlProps/ctrlProp38.xml><?xml version="1.0" encoding="utf-8"?>
<formControlPr xmlns="http://schemas.microsoft.com/office/spreadsheetml/2009/9/main" objectType="Drop" dropLines="12" dropStyle="combo" dx="16" fmlaLink="$W$26" fmlaRange="$H$63:$H$65" noThreeD="1" sel="1" val="0"/>
</file>

<file path=xl/ctrlProps/ctrlProp39.xml><?xml version="1.0" encoding="utf-8"?>
<formControlPr xmlns="http://schemas.microsoft.com/office/spreadsheetml/2009/9/main" objectType="CheckBox" fmlaLink="$P$4" lockText="1" noThreeD="1"/>
</file>

<file path=xl/ctrlProps/ctrlProp4.xml><?xml version="1.0" encoding="utf-8"?>
<formControlPr xmlns="http://schemas.microsoft.com/office/spreadsheetml/2009/9/main" objectType="Drop" dropLines="3" dropStyle="combo" dx="16" fmlaLink="$AE$3" fmlaRange="$B$63:$B$65" sel="1" val="0"/>
</file>

<file path=xl/ctrlProps/ctrlProp40.xml><?xml version="1.0" encoding="utf-8"?>
<formControlPr xmlns="http://schemas.microsoft.com/office/spreadsheetml/2009/9/main" objectType="CheckBox" fmlaLink="$P$5" lockText="1" noThreeD="1"/>
</file>

<file path=xl/ctrlProps/ctrlProp41.xml><?xml version="1.0" encoding="utf-8"?>
<formControlPr xmlns="http://schemas.microsoft.com/office/spreadsheetml/2009/9/main" objectType="CheckBox" fmlaLink="$P$6" lockText="1" noThreeD="1"/>
</file>

<file path=xl/ctrlProps/ctrlProp42.xml><?xml version="1.0" encoding="utf-8"?>
<formControlPr xmlns="http://schemas.microsoft.com/office/spreadsheetml/2009/9/main" objectType="CheckBox" fmlaLink="$P$7" lockText="1" noThreeD="1"/>
</file>

<file path=xl/ctrlProps/ctrlProp43.xml><?xml version="1.0" encoding="utf-8"?>
<formControlPr xmlns="http://schemas.microsoft.com/office/spreadsheetml/2009/9/main" objectType="CheckBox" fmlaLink="$P$8" lockText="1" noThreeD="1"/>
</file>

<file path=xl/ctrlProps/ctrlProp44.xml><?xml version="1.0" encoding="utf-8"?>
<formControlPr xmlns="http://schemas.microsoft.com/office/spreadsheetml/2009/9/main" objectType="CheckBox" fmlaLink="$P$18" lockText="1" noThreeD="1"/>
</file>

<file path=xl/ctrlProps/ctrlProp45.xml><?xml version="1.0" encoding="utf-8"?>
<formControlPr xmlns="http://schemas.microsoft.com/office/spreadsheetml/2009/9/main" objectType="CheckBox" fmlaLink="$P$34" lockText="1" noThreeD="1"/>
</file>

<file path=xl/ctrlProps/ctrlProp46.xml><?xml version="1.0" encoding="utf-8"?>
<formControlPr xmlns="http://schemas.microsoft.com/office/spreadsheetml/2009/9/main" objectType="Drop" dropStyle="combo" dx="16" fmlaLink="$P$40" fmlaRange="$C$87:$C$121" noThreeD="1" sel="1" val="0"/>
</file>

<file path=xl/ctrlProps/ctrlProp47.xml><?xml version="1.0" encoding="utf-8"?>
<formControlPr xmlns="http://schemas.microsoft.com/office/spreadsheetml/2009/9/main" objectType="Drop" dropStyle="combo" dx="16" fmlaLink="$P$41" fmlaRange="$C$87:$C$121" noThreeD="1" sel="1" val="0"/>
</file>

<file path=xl/ctrlProps/ctrlProp48.xml><?xml version="1.0" encoding="utf-8"?>
<formControlPr xmlns="http://schemas.microsoft.com/office/spreadsheetml/2009/9/main" objectType="Drop" dropStyle="combo" dx="16" fmlaLink="$P$42" fmlaRange="$C$87:$C$121" noThreeD="1" sel="1" val="0"/>
</file>

<file path=xl/ctrlProps/ctrlProp49.xml><?xml version="1.0" encoding="utf-8"?>
<formControlPr xmlns="http://schemas.microsoft.com/office/spreadsheetml/2009/9/main" objectType="CheckBox" fmlaLink="$P$35" lockText="1" noThreeD="1"/>
</file>

<file path=xl/ctrlProps/ctrlProp5.xml><?xml version="1.0" encoding="utf-8"?>
<formControlPr xmlns="http://schemas.microsoft.com/office/spreadsheetml/2009/9/main" objectType="Drop" dropLines="12" dropStyle="combo" dx="16" fmlaLink="$T$16" fmlaRange="$P$87:$P$133" noThreeD="1" sel="1" val="0"/>
</file>

<file path=xl/ctrlProps/ctrlProp50.xml><?xml version="1.0" encoding="utf-8"?>
<formControlPr xmlns="http://schemas.microsoft.com/office/spreadsheetml/2009/9/main" objectType="CheckBox" fmlaLink="$P$56" lockText="1" noThreeD="1"/>
</file>

<file path=xl/ctrlProps/ctrlProp51.xml><?xml version="1.0" encoding="utf-8"?>
<formControlPr xmlns="http://schemas.microsoft.com/office/spreadsheetml/2009/9/main" objectType="CheckBox" fmlaLink="$P$57" lockText="1" noThreeD="1"/>
</file>

<file path=xl/ctrlProps/ctrlProp52.xml><?xml version="1.0" encoding="utf-8"?>
<formControlPr xmlns="http://schemas.microsoft.com/office/spreadsheetml/2009/9/main" objectType="CheckBox" fmlaLink="$P$58" lockText="1" noThreeD="1"/>
</file>

<file path=xl/ctrlProps/ctrlProp53.xml><?xml version="1.0" encoding="utf-8"?>
<formControlPr xmlns="http://schemas.microsoft.com/office/spreadsheetml/2009/9/main" objectType="CheckBox" fmlaLink="$P$17" lockText="1" noThreeD="1"/>
</file>

<file path=xl/ctrlProps/ctrlProp54.xml><?xml version="1.0" encoding="utf-8"?>
<formControlPr xmlns="http://schemas.microsoft.com/office/spreadsheetml/2009/9/main" objectType="CheckBox" fmlaLink="$P$33" lockText="1" noThreeD="1"/>
</file>

<file path=xl/ctrlProps/ctrlProp6.xml><?xml version="1.0" encoding="utf-8"?>
<formControlPr xmlns="http://schemas.microsoft.com/office/spreadsheetml/2009/9/main" objectType="Drop" dropLines="12" dropStyle="combo" dx="16" fmlaLink="$T$17" fmlaRange="$P$87:$P$133" noThreeD="1" sel="1" val="0"/>
</file>

<file path=xl/ctrlProps/ctrlProp7.xml><?xml version="1.0" encoding="utf-8"?>
<formControlPr xmlns="http://schemas.microsoft.com/office/spreadsheetml/2009/9/main" objectType="Drop" dropLines="12" dropStyle="combo" dx="16" fmlaLink="$T$18" fmlaRange="$P$87:$P$133" noThreeD="1" sel="1" val="0"/>
</file>

<file path=xl/ctrlProps/ctrlProp8.xml><?xml version="1.0" encoding="utf-8"?>
<formControlPr xmlns="http://schemas.microsoft.com/office/spreadsheetml/2009/9/main" objectType="Drop" dropLines="3" dropStyle="combo" dx="16" fmlaLink="$T$3" fmlaRange="$B$80:$B$82" sel="1" val="0"/>
</file>

<file path=xl/ctrlProps/ctrlProp9.xml><?xml version="1.0" encoding="utf-8"?>
<formControlPr xmlns="http://schemas.microsoft.com/office/spreadsheetml/2009/9/main" objectType="Drop" dropLines="12" dropStyle="combo" dx="16" fmlaLink="$T$15" fmlaRange="$Z$74:$Z$120"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Waivers!C127"/></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5.xml.rels><?xml version="1.0" encoding="UTF-8" standalone="yes"?>
<Relationships xmlns="http://schemas.openxmlformats.org/package/2006/relationships"><Relationship Id="rId1" Type="http://schemas.openxmlformats.org/officeDocument/2006/relationships/hyperlink" Target="#'Open Space'!Print_Area"/></Relationships>
</file>

<file path=xl/drawings/_rels/drawing6.xml.rels><?xml version="1.0" encoding="UTF-8" standalone="yes"?>
<Relationships xmlns="http://schemas.openxmlformats.org/package/2006/relationships"><Relationship Id="rId1" Type="http://schemas.openxmlformats.org/officeDocument/2006/relationships/hyperlink" Target="#'Peds &amp; Bikes'!Print_Area"/></Relationships>
</file>

<file path=xl/drawings/_rels/drawing8.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9.xml.rels><?xml version="1.0" encoding="UTF-8" standalone="yes"?>
<Relationships xmlns="http://schemas.openxmlformats.org/package/2006/relationships"><Relationship Id="rId1" Type="http://schemas.openxmlformats.org/officeDocument/2006/relationships/hyperlink" Target="#'Storm Water'!Print_Area"/></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37" name="Picture 1" descr="CT_Main_Greyscale">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14</xdr:col>
      <xdr:colOff>152400</xdr:colOff>
      <xdr:row>36</xdr:row>
      <xdr:rowOff>9525</xdr:rowOff>
    </xdr:to>
    <xdr:sp macro="" textlink="">
      <xdr:nvSpPr>
        <xdr:cNvPr id="1038" name="Rectangle 2">
          <a:extLst>
            <a:ext uri="{FF2B5EF4-FFF2-40B4-BE49-F238E27FC236}">
              <a16:creationId xmlns:a16="http://schemas.microsoft.com/office/drawing/2014/main" id="{00000000-0008-0000-0000-00000E040000}"/>
            </a:ext>
          </a:extLst>
        </xdr:cNvPr>
        <xdr:cNvSpPr>
          <a:spLocks noChangeArrowheads="1"/>
        </xdr:cNvSpPr>
      </xdr:nvSpPr>
      <xdr:spPr bwMode="auto">
        <a:xfrm>
          <a:off x="85725" y="66675"/>
          <a:ext cx="8248650" cy="6600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3</xdr:row>
          <xdr:rowOff>60960</xdr:rowOff>
        </xdr:from>
        <xdr:to>
          <xdr:col>9</xdr:col>
          <xdr:colOff>198120</xdr:colOff>
          <xdr:row>4</xdr:row>
          <xdr:rowOff>30480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A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NOT subject to an infrastructure agreement concerning road infrastructure contributions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4</xdr:row>
          <xdr:rowOff>38100</xdr:rowOff>
        </xdr:from>
        <xdr:to>
          <xdr:col>9</xdr:col>
          <xdr:colOff>2065020</xdr:colOff>
          <xdr:row>5</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A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average density (e.g., lot size, dwellings, population) is consistent with the character statement and acceptable solutions of the planning scheme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xdr:row>
          <xdr:rowOff>45720</xdr:rowOff>
        </xdr:from>
        <xdr:to>
          <xdr:col>6</xdr:col>
          <xdr:colOff>373380</xdr:colOff>
          <xdr:row>6</xdr:row>
          <xdr:rowOff>45720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A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urban or park-residential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6</xdr:row>
          <xdr:rowOff>60960</xdr:rowOff>
        </xdr:from>
        <xdr:to>
          <xdr:col>8</xdr:col>
          <xdr:colOff>137160</xdr:colOff>
          <xdr:row>7</xdr:row>
          <xdr:rowOff>60960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A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is located within the Priority Infrastructure Area (pp.32-40 of the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7</xdr:row>
          <xdr:rowOff>68580</xdr:rowOff>
        </xdr:from>
        <xdr:to>
          <xdr:col>13</xdr:col>
          <xdr:colOff>76200</xdr:colOff>
          <xdr:row>8</xdr:row>
          <xdr:rowOff>76200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A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development represents growth within the traffic generation profiles as shown in p.48 of the policy.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17</xdr:row>
          <xdr:rowOff>7620</xdr:rowOff>
        </xdr:from>
        <xdr:to>
          <xdr:col>5</xdr:col>
          <xdr:colOff>617220</xdr:colOff>
          <xdr:row>18</xdr:row>
          <xdr:rowOff>7620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A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prior to 30 June 2010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33</xdr:row>
          <xdr:rowOff>30480</xdr:rowOff>
        </xdr:from>
        <xdr:to>
          <xdr:col>9</xdr:col>
          <xdr:colOff>754380</xdr:colOff>
          <xdr:row>34</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A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infrastructure contributions relevant to the development is made before close of business 30/6/2011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7620</xdr:rowOff>
        </xdr:from>
        <xdr:to>
          <xdr:col>11</xdr:col>
          <xdr:colOff>30480</xdr:colOff>
          <xdr:row>40</xdr:row>
          <xdr:rowOff>22860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A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7620</xdr:rowOff>
        </xdr:from>
        <xdr:to>
          <xdr:col>11</xdr:col>
          <xdr:colOff>22860</xdr:colOff>
          <xdr:row>41</xdr:row>
          <xdr:rowOff>7620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A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7620</xdr:rowOff>
        </xdr:from>
        <xdr:to>
          <xdr:col>11</xdr:col>
          <xdr:colOff>22860</xdr:colOff>
          <xdr:row>42</xdr:row>
          <xdr:rowOff>22860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A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34</xdr:row>
          <xdr:rowOff>38100</xdr:rowOff>
        </xdr:from>
        <xdr:to>
          <xdr:col>5</xdr:col>
          <xdr:colOff>236220</xdr:colOff>
          <xdr:row>35</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A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First Principles Assessment NOT been applied</a:t>
              </a:r>
            </a:p>
          </xdr:txBody>
        </xdr:sp>
        <xdr:clientData/>
      </xdr:twoCellAnchor>
    </mc:Choice>
    <mc:Fallback/>
  </mc:AlternateContent>
  <xdr:twoCellAnchor>
    <xdr:from>
      <xdr:col>2</xdr:col>
      <xdr:colOff>169545</xdr:colOff>
      <xdr:row>8</xdr:row>
      <xdr:rowOff>40005</xdr:rowOff>
    </xdr:from>
    <xdr:to>
      <xdr:col>12</xdr:col>
      <xdr:colOff>293370</xdr:colOff>
      <xdr:row>8</xdr:row>
      <xdr:rowOff>257316</xdr:rowOff>
    </xdr:to>
    <xdr:sp macro="" textlink="">
      <xdr:nvSpPr>
        <xdr:cNvPr id="16396" name="Text Box 12">
          <a:extLst>
            <a:ext uri="{FF2B5EF4-FFF2-40B4-BE49-F238E27FC236}">
              <a16:creationId xmlns:a16="http://schemas.microsoft.com/office/drawing/2014/main" id="{00000000-0008-0000-0A00-00000C400000}"/>
            </a:ext>
          </a:extLst>
        </xdr:cNvPr>
        <xdr:cNvSpPr txBox="1">
          <a:spLocks noChangeArrowheads="1"/>
        </xdr:cNvSpPr>
      </xdr:nvSpPr>
      <xdr:spPr bwMode="auto">
        <a:xfrm>
          <a:off x="638175" y="2733675"/>
          <a:ext cx="9906000" cy="209550"/>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(N.B. development which generates trips exceeding those shown in Table B may need to be referred to the Road Infrastructure planners for advice)</a:t>
          </a:r>
        </a:p>
      </xdr:txBody>
    </xdr:sp>
    <xdr:clientData/>
  </xdr:twoCellAnchor>
  <xdr:twoCellAnchor>
    <xdr:from>
      <xdr:col>2</xdr:col>
      <xdr:colOff>169545</xdr:colOff>
      <xdr:row>9</xdr:row>
      <xdr:rowOff>38100</xdr:rowOff>
    </xdr:from>
    <xdr:to>
      <xdr:col>4</xdr:col>
      <xdr:colOff>28655</xdr:colOff>
      <xdr:row>10</xdr:row>
      <xdr:rowOff>36291</xdr:rowOff>
    </xdr:to>
    <xdr:sp macro="" textlink="">
      <xdr:nvSpPr>
        <xdr:cNvPr id="16397" name="Text Box 13">
          <a:hlinkClick xmlns:r="http://schemas.openxmlformats.org/officeDocument/2006/relationships" r:id="rId1"/>
          <a:extLst>
            <a:ext uri="{FF2B5EF4-FFF2-40B4-BE49-F238E27FC236}">
              <a16:creationId xmlns:a16="http://schemas.microsoft.com/office/drawing/2014/main" id="{00000000-0008-0000-0A00-00000D400000}"/>
            </a:ext>
          </a:extLst>
        </xdr:cNvPr>
        <xdr:cNvSpPr txBox="1">
          <a:spLocks noChangeArrowheads="1"/>
        </xdr:cNvSpPr>
      </xdr:nvSpPr>
      <xdr:spPr bwMode="auto">
        <a:xfrm>
          <a:off x="638175" y="2990850"/>
          <a:ext cx="1285875" cy="257175"/>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800" b="1" i="0" u="sng" strike="noStrike" baseline="0">
              <a:solidFill>
                <a:srgbClr val="3366FF"/>
              </a:solidFill>
              <a:latin typeface="Arial"/>
              <a:cs typeface="Arial"/>
            </a:rPr>
            <a:t>Hyperlink to Table B</a:t>
          </a:r>
        </a:p>
      </xdr:txBody>
    </xdr:sp>
    <xdr:clientData/>
  </xdr:twoCellAnchor>
  <xdr:twoCellAnchor>
    <xdr:from>
      <xdr:col>2</xdr:col>
      <xdr:colOff>0</xdr:colOff>
      <xdr:row>12</xdr:row>
      <xdr:rowOff>76200</xdr:rowOff>
    </xdr:from>
    <xdr:to>
      <xdr:col>12</xdr:col>
      <xdr:colOff>350519</xdr:colOff>
      <xdr:row>14</xdr:row>
      <xdr:rowOff>171450</xdr:rowOff>
    </xdr:to>
    <xdr:sp macro="" textlink="">
      <xdr:nvSpPr>
        <xdr:cNvPr id="16398" name="Text Box 14">
          <a:extLst>
            <a:ext uri="{FF2B5EF4-FFF2-40B4-BE49-F238E27FC236}">
              <a16:creationId xmlns:a16="http://schemas.microsoft.com/office/drawing/2014/main" id="{00000000-0008-0000-0A00-00000E400000}"/>
            </a:ext>
          </a:extLst>
        </xdr:cNvPr>
        <xdr:cNvSpPr txBox="1">
          <a:spLocks noChangeArrowheads="1"/>
        </xdr:cNvSpPr>
      </xdr:nvSpPr>
      <xdr:spPr bwMode="auto">
        <a:xfrm>
          <a:off x="466725" y="3752850"/>
          <a:ext cx="10134600" cy="628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23rd June 2009, a 33% waiver of the Road Network Headworks is applicable to development for which the amended policy is effective, but only for those development approvals of land uses which are consistent with the relevant planning scheme and infrastructure planning commensurate with the amended planning scheme policies, and are decided before 30 June 2010, unless priority infrastructure plans commence earlier.</a:t>
          </a:r>
        </a:p>
      </xdr:txBody>
    </xdr:sp>
    <xdr:clientData/>
  </xdr:twoCellAnchor>
  <xdr:twoCellAnchor>
    <xdr:from>
      <xdr:col>1</xdr:col>
      <xdr:colOff>0</xdr:colOff>
      <xdr:row>0</xdr:row>
      <xdr:rowOff>523875</xdr:rowOff>
    </xdr:from>
    <xdr:to>
      <xdr:col>11</xdr:col>
      <xdr:colOff>577210</xdr:colOff>
      <xdr:row>2</xdr:row>
      <xdr:rowOff>0</xdr:rowOff>
    </xdr:to>
    <xdr:sp macro="" textlink="">
      <xdr:nvSpPr>
        <xdr:cNvPr id="16399" name="Text Box 15">
          <a:extLst>
            <a:ext uri="{FF2B5EF4-FFF2-40B4-BE49-F238E27FC236}">
              <a16:creationId xmlns:a16="http://schemas.microsoft.com/office/drawing/2014/main" id="{00000000-0008-0000-0A00-00000F400000}"/>
            </a:ext>
          </a:extLst>
        </xdr:cNvPr>
        <xdr:cNvSpPr txBox="1">
          <a:spLocks noChangeArrowheads="1"/>
        </xdr:cNvSpPr>
      </xdr:nvSpPr>
      <xdr:spPr bwMode="auto">
        <a:xfrm>
          <a:off x="257175" y="523875"/>
          <a:ext cx="9915525"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has made two resoultions in the past concerning the waiving of road infrastructure contributions, with the greater of either waiver prevailing where they both apply. The applicable waiver is noted at the bottom of the worksheet and transferred to the Summary worksheet.</a:t>
          </a:r>
        </a:p>
      </xdr:txBody>
    </xdr:sp>
    <xdr:clientData/>
  </xdr:twoCellAnchor>
  <xdr:twoCellAnchor>
    <xdr:from>
      <xdr:col>2</xdr:col>
      <xdr:colOff>76200</xdr:colOff>
      <xdr:row>142</xdr:row>
      <xdr:rowOff>112395</xdr:rowOff>
    </xdr:from>
    <xdr:to>
      <xdr:col>8</xdr:col>
      <xdr:colOff>57150</xdr:colOff>
      <xdr:row>150</xdr:row>
      <xdr:rowOff>112374</xdr:rowOff>
    </xdr:to>
    <xdr:sp macro="" textlink="">
      <xdr:nvSpPr>
        <xdr:cNvPr id="16400" name="Text Box 16">
          <a:extLst>
            <a:ext uri="{FF2B5EF4-FFF2-40B4-BE49-F238E27FC236}">
              <a16:creationId xmlns:a16="http://schemas.microsoft.com/office/drawing/2014/main" id="{00000000-0008-0000-0A00-000010400000}"/>
            </a:ext>
          </a:extLst>
        </xdr:cNvPr>
        <xdr:cNvSpPr txBox="1">
          <a:spLocks noChangeArrowheads="1"/>
        </xdr:cNvSpPr>
      </xdr:nvSpPr>
      <xdr:spPr bwMode="auto">
        <a:xfrm>
          <a:off x="542925" y="39014400"/>
          <a:ext cx="4286250" cy="140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AU" sz="1000" b="0" i="0" u="none" strike="noStrike" baseline="0">
              <a:solidFill>
                <a:srgbClr val="000000"/>
              </a:solidFill>
              <a:latin typeface="Arial"/>
              <a:cs typeface="Arial"/>
            </a:rPr>
            <a:t>Values represent 10% of the average annual growth, derived from 2006 - 2011 sectoral traffic generation demand (policy, p.48).</a:t>
          </a:r>
        </a:p>
        <a:p>
          <a:pPr algn="l" rtl="0">
            <a:lnSpc>
              <a:spcPts val="1100"/>
            </a:lnSpc>
            <a:defRPr sz="1000"/>
          </a:pPr>
          <a:endParaRPr lang="en-AU" sz="1000" b="0" i="0" u="none" strike="noStrike" baseline="0">
            <a:solidFill>
              <a:srgbClr val="000000"/>
            </a:solidFill>
            <a:latin typeface="Arial"/>
            <a:cs typeface="Arial"/>
          </a:endParaRPr>
        </a:p>
        <a:p>
          <a:pPr algn="l" rtl="0">
            <a:lnSpc>
              <a:spcPts val="1100"/>
            </a:lnSpc>
            <a:defRPr sz="1000"/>
          </a:pPr>
          <a:r>
            <a:rPr lang="en-AU" sz="1000" b="0" i="0" u="none" strike="noStrike" baseline="0">
              <a:solidFill>
                <a:srgbClr val="000000"/>
              </a:solidFill>
              <a:latin typeface="Arial"/>
              <a:cs typeface="Arial"/>
            </a:rPr>
            <a:t>While any single development exceeding such limits may still be within the planned annual growth, there is a strong likelihood that a number of similar developments are being proposed at the same time, and the aggregate effect of such growth needs to be checked to ensure the infrastructure is also available.</a:t>
          </a:r>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55</xdr:row>
          <xdr:rowOff>7620</xdr:rowOff>
        </xdr:from>
        <xdr:to>
          <xdr:col>6</xdr:col>
          <xdr:colOff>335280</xdr:colOff>
          <xdr:row>56</xdr:row>
          <xdr:rowOff>7620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A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after 30 June 2010.</a:t>
              </a:r>
            </a:p>
          </xdr:txBody>
        </xdr:sp>
        <xdr:clientData/>
      </xdr:twoCellAnchor>
    </mc:Choice>
    <mc:Fallback/>
  </mc:AlternateContent>
  <xdr:twoCellAnchor>
    <xdr:from>
      <xdr:col>1</xdr:col>
      <xdr:colOff>169545</xdr:colOff>
      <xdr:row>51</xdr:row>
      <xdr:rowOff>66675</xdr:rowOff>
    </xdr:from>
    <xdr:to>
      <xdr:col>12</xdr:col>
      <xdr:colOff>613422</xdr:colOff>
      <xdr:row>53</xdr:row>
      <xdr:rowOff>228600</xdr:rowOff>
    </xdr:to>
    <xdr:sp macro="" textlink="">
      <xdr:nvSpPr>
        <xdr:cNvPr id="16402" name="Text Box 18">
          <a:extLst>
            <a:ext uri="{FF2B5EF4-FFF2-40B4-BE49-F238E27FC236}">
              <a16:creationId xmlns:a16="http://schemas.microsoft.com/office/drawing/2014/main" id="{00000000-0008-0000-0A00-000012400000}"/>
            </a:ext>
          </a:extLst>
        </xdr:cNvPr>
        <xdr:cNvSpPr txBox="1">
          <a:spLocks noChangeArrowheads="1"/>
        </xdr:cNvSpPr>
      </xdr:nvSpPr>
      <xdr:spPr bwMode="auto">
        <a:xfrm>
          <a:off x="419100" y="13658850"/>
          <a:ext cx="1043940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22nd June 2010, a 20% waiver of the Road Network Headworks is applicable to development for which the policy is effective, but only for those development approvals of land uses which are consistent with the relevant planning scheme and infrastructure planning commensurate with the planning scheme policies, and are decided after 30 June 2010 (to avoid overlap with Waiver 1) but prior to 30 June 2011, and all road infrastructure contributions are paid before 30 June 2011..</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55</xdr:row>
          <xdr:rowOff>251460</xdr:rowOff>
        </xdr:from>
        <xdr:to>
          <xdr:col>5</xdr:col>
          <xdr:colOff>1066800</xdr:colOff>
          <xdr:row>56</xdr:row>
          <xdr:rowOff>251460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A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was approved on, or before, 30 June 2011.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56</xdr:row>
          <xdr:rowOff>228600</xdr:rowOff>
        </xdr:from>
        <xdr:to>
          <xdr:col>8</xdr:col>
          <xdr:colOff>541020</xdr:colOff>
          <xdr:row>57</xdr:row>
          <xdr:rowOff>228600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A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Full payment of all road infrastructrure contributions is made before close of business 30 June 2011.</a:t>
              </a:r>
            </a:p>
          </xdr:txBody>
        </xdr:sp>
        <xdr:clientData/>
      </xdr:twoCellAnchor>
    </mc:Choice>
    <mc:Fallback/>
  </mc:AlternateContent>
  <xdr:twoCellAnchor>
    <xdr:from>
      <xdr:col>1</xdr:col>
      <xdr:colOff>179070</xdr:colOff>
      <xdr:row>27</xdr:row>
      <xdr:rowOff>57150</xdr:rowOff>
    </xdr:from>
    <xdr:to>
      <xdr:col>12</xdr:col>
      <xdr:colOff>238128</xdr:colOff>
      <xdr:row>30</xdr:row>
      <xdr:rowOff>150647</xdr:rowOff>
    </xdr:to>
    <xdr:sp macro="" textlink="">
      <xdr:nvSpPr>
        <xdr:cNvPr id="16405" name="Text Box 21">
          <a:extLst>
            <a:ext uri="{FF2B5EF4-FFF2-40B4-BE49-F238E27FC236}">
              <a16:creationId xmlns:a16="http://schemas.microsoft.com/office/drawing/2014/main" id="{00000000-0008-0000-0A00-000015400000}"/>
            </a:ext>
          </a:extLst>
        </xdr:cNvPr>
        <xdr:cNvSpPr txBox="1">
          <a:spLocks noChangeArrowheads="1"/>
        </xdr:cNvSpPr>
      </xdr:nvSpPr>
      <xdr:spPr bwMode="auto">
        <a:xfrm>
          <a:off x="428625" y="7724775"/>
          <a:ext cx="10058400" cy="89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'In accordance with the Council resolution dated 23rd March 2010, a waiver of the Road Network Headworks may also be applicable to non-residential development for which the amended policy is effective, but only for those development approvals of land uses which are consistent with the relevant planning scheme and infrastructure planning commensurate with the planning scheme policies, and for which full payment of all infrastructure contributions is made before close of business 30 June 2011. Where this waiver coincides with the waiver of Note 1 above, the most generous wavier shall prevail. It does not apply if a First Principles Assessment has been applied.</a:t>
          </a:r>
        </a:p>
      </xdr:txBody>
    </xdr:sp>
    <xdr:clientData/>
  </xdr:twoCellAnchor>
  <mc:AlternateContent xmlns:mc="http://schemas.openxmlformats.org/markup-compatibility/2006">
    <mc:Choice xmlns:a14="http://schemas.microsoft.com/office/drawing/2010/main" Requires="a14">
      <xdr:twoCellAnchor editAs="oneCell">
        <xdr:from>
          <xdr:col>1</xdr:col>
          <xdr:colOff>213360</xdr:colOff>
          <xdr:row>16</xdr:row>
          <xdr:rowOff>45720</xdr:rowOff>
        </xdr:from>
        <xdr:to>
          <xdr:col>6</xdr:col>
          <xdr:colOff>266700</xdr:colOff>
          <xdr:row>17</xdr:row>
          <xdr:rowOff>45720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A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32</xdr:row>
          <xdr:rowOff>22860</xdr:rowOff>
        </xdr:from>
        <xdr:to>
          <xdr:col>6</xdr:col>
          <xdr:colOff>266700</xdr:colOff>
          <xdr:row>33</xdr:row>
          <xdr:rowOff>38100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A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The application reached the IDAS decision stage on, or after, 30/6/2009</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236220</xdr:colOff>
      <xdr:row>2</xdr:row>
      <xdr:rowOff>40005</xdr:rowOff>
    </xdr:from>
    <xdr:to>
      <xdr:col>16</xdr:col>
      <xdr:colOff>539115</xdr:colOff>
      <xdr:row>23</xdr:row>
      <xdr:rowOff>66683</xdr:rowOff>
    </xdr:to>
    <xdr:sp macro="" textlink="">
      <xdr:nvSpPr>
        <xdr:cNvPr id="18433" name="Text Box 1">
          <a:extLst>
            <a:ext uri="{FF2B5EF4-FFF2-40B4-BE49-F238E27FC236}">
              <a16:creationId xmlns:a16="http://schemas.microsoft.com/office/drawing/2014/main" id="{00000000-0008-0000-0B00-000001480000}"/>
            </a:ext>
          </a:extLst>
        </xdr:cNvPr>
        <xdr:cNvSpPr txBox="1">
          <a:spLocks noChangeArrowheads="1"/>
        </xdr:cNvSpPr>
      </xdr:nvSpPr>
      <xdr:spPr bwMode="auto">
        <a:xfrm>
          <a:off x="238125" y="409575"/>
          <a:ext cx="9686925" cy="34194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June 2012 to the extent that development within the PIA, consistent with the planning scheme and infrastructure planning may be eligble for infrastructure contribution waivers such that local government infrastructure contributions payable do not exceed the amounts suggested by Queensland Government response to the report by the infrastructure charges taskforce (April, 2011).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Criteria about the approval and commencement status of the development, and conditions of approval also apply. </a:t>
          </a:r>
        </a:p>
        <a:p>
          <a:pPr algn="l" rtl="0">
            <a:defRPr sz="1000"/>
          </a:pPr>
          <a:endParaRPr lang="en-AU" sz="10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Conditions:</a:t>
          </a:r>
          <a:endParaRPr lang="en-AU" sz="1000" b="0" i="0" u="none" strike="noStrike" baseline="0">
            <a:solidFill>
              <a:srgbClr val="000000"/>
            </a:solidFill>
            <a:latin typeface="Arial"/>
            <a:cs typeface="Arial"/>
          </a:endParaRPr>
        </a:p>
        <a:p>
          <a:pPr rtl="0"/>
          <a:r>
            <a:rPr lang="en-AU" sz="1100" b="0" i="0" baseline="0">
              <a:effectLst/>
              <a:latin typeface="+mn-lt"/>
              <a:ea typeface="+mn-ea"/>
              <a:cs typeface="+mn-cs"/>
            </a:rPr>
            <a:t>-  The average density (e.g., lot size, dwellings, population) is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otherwise consistent with the specific outcomes and probable solutions of the planning scheme</a:t>
          </a:r>
          <a:endParaRPr lang="en-AU" sz="1000">
            <a:effectLst/>
          </a:endParaRPr>
        </a:p>
        <a:p>
          <a:pPr rtl="0"/>
          <a:r>
            <a:rPr lang="en-AU" sz="1100">
              <a:effectLst/>
              <a:latin typeface="+mn-lt"/>
              <a:ea typeface="+mn-ea"/>
              <a:cs typeface="+mn-cs"/>
            </a:rPr>
            <a:t>   -  The development is located within the Priority Infrastructure Area</a:t>
          </a:r>
          <a:endParaRPr lang="en-AU" sz="1000">
            <a:effectLst/>
          </a:endParaRPr>
        </a:p>
        <a:p>
          <a:pPr rtl="0"/>
          <a:r>
            <a:rPr lang="en-AU" sz="1100" b="0" i="0" baseline="0">
              <a:effectLst/>
              <a:latin typeface="+mn-lt"/>
              <a:ea typeface="+mn-ea"/>
              <a:cs typeface="+mn-cs"/>
            </a:rPr>
            <a:t>   -  The application was approved prior to the 1 July 2011 but  no operational works or building works commenced before 1 May 2011.</a:t>
          </a:r>
          <a:endParaRPr lang="en-AU" sz="1000">
            <a:effectLst/>
          </a:endParaRPr>
        </a:p>
        <a:p>
          <a:pPr rtl="0"/>
          <a:r>
            <a:rPr lang="en-AU" sz="1100" b="0" i="0" baseline="0">
              <a:effectLst/>
              <a:latin typeface="+mn-lt"/>
              <a:ea typeface="+mn-ea"/>
              <a:cs typeface="+mn-cs"/>
            </a:rPr>
            <a:t>   -  Payment of contributions are to be made between 1 July 2012 and 30 June 2014.</a:t>
          </a:r>
        </a:p>
        <a:p>
          <a:pPr rtl="0"/>
          <a:endParaRPr lang="en-AU" sz="1000">
            <a:effectLst/>
          </a:endParaRPr>
        </a:p>
        <a:p>
          <a:pPr algn="l" rtl="0">
            <a:defRPr sz="1000"/>
          </a:pPr>
          <a:r>
            <a:rPr lang="en-AU" sz="1000" b="0" i="0" u="none" strike="noStrike" baseline="0">
              <a:solidFill>
                <a:srgbClr val="000000"/>
              </a:solidFill>
              <a:latin typeface="Arial"/>
              <a:cs typeface="Arial"/>
            </a:rPr>
            <a:t>The effect of Waiver 6 is not applied in this calculator due to very limited scope of use. If above criteria are met,  please consult with council.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19050</xdr:rowOff>
    </xdr:from>
    <xdr:to>
      <xdr:col>9</xdr:col>
      <xdr:colOff>1049672</xdr:colOff>
      <xdr:row>19</xdr:row>
      <xdr:rowOff>19050</xdr:rowOff>
    </xdr:to>
    <xdr:sp macro="" textlink="">
      <xdr:nvSpPr>
        <xdr:cNvPr id="17410" name="Text Box 2">
          <a:extLst>
            <a:ext uri="{FF2B5EF4-FFF2-40B4-BE49-F238E27FC236}">
              <a16:creationId xmlns:a16="http://schemas.microsoft.com/office/drawing/2014/main" id="{00000000-0008-0000-0100-000002440000}"/>
            </a:ext>
          </a:extLst>
        </xdr:cNvPr>
        <xdr:cNvSpPr txBox="1">
          <a:spLocks noChangeArrowheads="1"/>
        </xdr:cNvSpPr>
      </xdr:nvSpPr>
      <xdr:spPr bwMode="auto">
        <a:xfrm>
          <a:off x="228600" y="3324225"/>
          <a:ext cx="10039350" cy="381000"/>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'12 financial quarter should use indices published for Sep 2011). - note: State Govt. restricted indexation past June 2009 to be no greater than CPI adjustments)</a:t>
          </a:r>
        </a:p>
      </xdr:txBody>
    </xdr:sp>
    <xdr:clientData/>
  </xdr:twoCellAnchor>
  <xdr:twoCellAnchor>
    <xdr:from>
      <xdr:col>12</xdr:col>
      <xdr:colOff>57150</xdr:colOff>
      <xdr:row>10</xdr:row>
      <xdr:rowOff>180975</xdr:rowOff>
    </xdr:from>
    <xdr:to>
      <xdr:col>13</xdr:col>
      <xdr:colOff>141075</xdr:colOff>
      <xdr:row>13</xdr:row>
      <xdr:rowOff>171617</xdr:rowOff>
    </xdr:to>
    <xdr:sp macro="" textlink="">
      <xdr:nvSpPr>
        <xdr:cNvPr id="17411" name="AutoShape 3">
          <a:hlinkClick xmlns:r="http://schemas.openxmlformats.org/officeDocument/2006/relationships" r:id="rId1"/>
          <a:extLst>
            <a:ext uri="{FF2B5EF4-FFF2-40B4-BE49-F238E27FC236}">
              <a16:creationId xmlns:a16="http://schemas.microsoft.com/office/drawing/2014/main" id="{00000000-0008-0000-0100-000003440000}"/>
            </a:ext>
          </a:extLst>
        </xdr:cNvPr>
        <xdr:cNvSpPr>
          <a:spLocks noChangeArrowheads="1"/>
        </xdr:cNvSpPr>
      </xdr:nvSpPr>
      <xdr:spPr bwMode="auto">
        <a:xfrm>
          <a:off x="11363325" y="235267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0</xdr:rowOff>
        </xdr:from>
        <xdr:to>
          <xdr:col>5</xdr:col>
          <xdr:colOff>38100</xdr:colOff>
          <xdr:row>14</xdr:row>
          <xdr:rowOff>7620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5</xdr:col>
          <xdr:colOff>38100</xdr:colOff>
          <xdr:row>15</xdr:row>
          <xdr:rowOff>22860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0</xdr:rowOff>
        </xdr:from>
        <xdr:to>
          <xdr:col>5</xdr:col>
          <xdr:colOff>38100</xdr:colOff>
          <xdr:row>16</xdr:row>
          <xdr:rowOff>7620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2</xdr:row>
          <xdr:rowOff>7620</xdr:rowOff>
        </xdr:from>
        <xdr:to>
          <xdr:col>7</xdr:col>
          <xdr:colOff>38100</xdr:colOff>
          <xdr:row>3</xdr:row>
          <xdr:rowOff>60960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152400</xdr:rowOff>
    </xdr:from>
    <xdr:to>
      <xdr:col>11</xdr:col>
      <xdr:colOff>491496</xdr:colOff>
      <xdr:row>1</xdr:row>
      <xdr:rowOff>607794</xdr:rowOff>
    </xdr:to>
    <xdr:sp macro="" textlink="">
      <xdr:nvSpPr>
        <xdr:cNvPr id="14357" name="Text Box 21">
          <a:extLst>
            <a:ext uri="{FF2B5EF4-FFF2-40B4-BE49-F238E27FC236}">
              <a16:creationId xmlns:a16="http://schemas.microsoft.com/office/drawing/2014/main" id="{00000000-0008-0000-0300-000015380000}"/>
            </a:ext>
          </a:extLst>
        </xdr:cNvPr>
        <xdr:cNvSpPr txBox="1">
          <a:spLocks noChangeArrowheads="1"/>
        </xdr:cNvSpPr>
      </xdr:nvSpPr>
      <xdr:spPr bwMode="auto">
        <a:xfrm>
          <a:off x="209550" y="352425"/>
          <a:ext cx="821055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land connected, or Council intends to be connected, or of zoning for which the planning scheme requires connection to the public sewer system (Policy s2).</a:t>
          </a:r>
        </a:p>
      </xdr:txBody>
    </xdr:sp>
    <xdr:clientData/>
  </xdr:twoCellAnchor>
  <xdr:twoCellAnchor>
    <xdr:from>
      <xdr:col>14</xdr:col>
      <xdr:colOff>82550</xdr:colOff>
      <xdr:row>19</xdr:row>
      <xdr:rowOff>115570</xdr:rowOff>
    </xdr:from>
    <xdr:to>
      <xdr:col>16</xdr:col>
      <xdr:colOff>8259</xdr:colOff>
      <xdr:row>22</xdr:row>
      <xdr:rowOff>158713</xdr:rowOff>
    </xdr:to>
    <xdr:sp macro="" textlink="">
      <xdr:nvSpPr>
        <xdr:cNvPr id="14362" name="AutoShape 26">
          <a:hlinkClick xmlns:r="http://schemas.openxmlformats.org/officeDocument/2006/relationships" r:id="rId1"/>
          <a:extLst>
            <a:ext uri="{FF2B5EF4-FFF2-40B4-BE49-F238E27FC236}">
              <a16:creationId xmlns:a16="http://schemas.microsoft.com/office/drawing/2014/main" id="{00000000-0008-0000-0300-00001A380000}"/>
            </a:ext>
          </a:extLst>
        </xdr:cNvPr>
        <xdr:cNvSpPr>
          <a:spLocks noChangeArrowheads="1"/>
        </xdr:cNvSpPr>
      </xdr:nvSpPr>
      <xdr:spPr bwMode="auto">
        <a:xfrm>
          <a:off x="9912350" y="3978275"/>
          <a:ext cx="115252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14</xdr:col>
      <xdr:colOff>177800</xdr:colOff>
      <xdr:row>23</xdr:row>
      <xdr:rowOff>5080</xdr:rowOff>
    </xdr:from>
    <xdr:to>
      <xdr:col>18</xdr:col>
      <xdr:colOff>184150</xdr:colOff>
      <xdr:row>25</xdr:row>
      <xdr:rowOff>120493</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0007600" y="4584700"/>
          <a:ext cx="38544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15</xdr:row>
          <xdr:rowOff>38100</xdr:rowOff>
        </xdr:from>
        <xdr:to>
          <xdr:col>5</xdr:col>
          <xdr:colOff>30480</xdr:colOff>
          <xdr:row>16</xdr:row>
          <xdr:rowOff>45720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45720</xdr:rowOff>
        </xdr:from>
        <xdr:to>
          <xdr:col>5</xdr:col>
          <xdr:colOff>30480</xdr:colOff>
          <xdr:row>17</xdr:row>
          <xdr:rowOff>45720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5</xdr:col>
          <xdr:colOff>30480</xdr:colOff>
          <xdr:row>18</xdr:row>
          <xdr:rowOff>22860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807720</xdr:colOff>
          <xdr:row>2</xdr:row>
          <xdr:rowOff>7620</xdr:rowOff>
        </xdr:from>
        <xdr:to>
          <xdr:col>7</xdr:col>
          <xdr:colOff>403860</xdr:colOff>
          <xdr:row>3</xdr:row>
          <xdr:rowOff>76200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135255</xdr:colOff>
      <xdr:row>1</xdr:row>
      <xdr:rowOff>150495</xdr:rowOff>
    </xdr:from>
    <xdr:to>
      <xdr:col>12</xdr:col>
      <xdr:colOff>160022</xdr:colOff>
      <xdr:row>1</xdr:row>
      <xdr:rowOff>645795</xdr:rowOff>
    </xdr:to>
    <xdr:sp macro="" textlink="">
      <xdr:nvSpPr>
        <xdr:cNvPr id="7209" name="Text Box 41">
          <a:extLst>
            <a:ext uri="{FF2B5EF4-FFF2-40B4-BE49-F238E27FC236}">
              <a16:creationId xmlns:a16="http://schemas.microsoft.com/office/drawing/2014/main" id="{00000000-0008-0000-0400-0000291C0000}"/>
            </a:ext>
          </a:extLst>
        </xdr:cNvPr>
        <xdr:cNvSpPr txBox="1">
          <a:spLocks noChangeArrowheads="1"/>
        </xdr:cNvSpPr>
      </xdr:nvSpPr>
      <xdr:spPr bwMode="auto">
        <a:xfrm>
          <a:off x="133350" y="342900"/>
          <a:ext cx="7820025" cy="495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lnSpc>
              <a:spcPts val="900"/>
            </a:lnSpc>
            <a:defRPr sz="1000"/>
          </a:pPr>
          <a:r>
            <a:rPr lang="en-AU" sz="1000" b="0" i="0" u="none" strike="noStrike" baseline="0">
              <a:solidFill>
                <a:srgbClr val="000000"/>
              </a:solidFill>
              <a:latin typeface="Arial"/>
              <a:cs typeface="Arial"/>
            </a:rPr>
            <a:t>The policy applies to all land connected, or Council intends for connection, or of zoning for which the planning scheme requires connection to the public water supply system. Elements of Rupertswood and Rangewood subject to a separate infrastructure agreement are excluded from the policy (Policy s2).</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14</xdr:row>
          <xdr:rowOff>7620</xdr:rowOff>
        </xdr:from>
        <xdr:to>
          <xdr:col>5</xdr:col>
          <xdr:colOff>30480</xdr:colOff>
          <xdr:row>15</xdr:row>
          <xdr:rowOff>30480</xdr:rowOff>
        </xdr:to>
        <xdr:sp macro="" textlink="">
          <xdr:nvSpPr>
            <xdr:cNvPr id="7221" name="Drop Down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22860</xdr:rowOff>
        </xdr:from>
        <xdr:to>
          <xdr:col>5</xdr:col>
          <xdr:colOff>30480</xdr:colOff>
          <xdr:row>16</xdr:row>
          <xdr:rowOff>22860</xdr:rowOff>
        </xdr:to>
        <xdr:sp macro="" textlink="">
          <xdr:nvSpPr>
            <xdr:cNvPr id="7222" name="Drop Down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xdr:rowOff>
        </xdr:from>
        <xdr:to>
          <xdr:col>5</xdr:col>
          <xdr:colOff>30480</xdr:colOff>
          <xdr:row>17</xdr:row>
          <xdr:rowOff>7620</xdr:rowOff>
        </xdr:to>
        <xdr:sp macro="" textlink="">
          <xdr:nvSpPr>
            <xdr:cNvPr id="7223" name="Drop Down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807720</xdr:colOff>
          <xdr:row>2</xdr:row>
          <xdr:rowOff>7620</xdr:rowOff>
        </xdr:from>
        <xdr:to>
          <xdr:col>7</xdr:col>
          <xdr:colOff>403860</xdr:colOff>
          <xdr:row>3</xdr:row>
          <xdr:rowOff>76200</xdr:rowOff>
        </xdr:to>
        <xdr:sp macro="" textlink="">
          <xdr:nvSpPr>
            <xdr:cNvPr id="7224" name="Drop Down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114300</xdr:colOff>
      <xdr:row>12</xdr:row>
      <xdr:rowOff>38100</xdr:rowOff>
    </xdr:from>
    <xdr:to>
      <xdr:col>16</xdr:col>
      <xdr:colOff>50800</xdr:colOff>
      <xdr:row>15</xdr:row>
      <xdr:rowOff>76200</xdr:rowOff>
    </xdr:to>
    <xdr:sp macro="" textlink="">
      <xdr:nvSpPr>
        <xdr:cNvPr id="7226" name="AutoShape 58">
          <a:hlinkClick xmlns:r="http://schemas.openxmlformats.org/officeDocument/2006/relationships" r:id="rId1"/>
          <a:extLst>
            <a:ext uri="{FF2B5EF4-FFF2-40B4-BE49-F238E27FC236}">
              <a16:creationId xmlns:a16="http://schemas.microsoft.com/office/drawing/2014/main" id="{00000000-0008-0000-0400-00003A1C0000}"/>
            </a:ext>
          </a:extLst>
        </xdr:cNvPr>
        <xdr:cNvSpPr>
          <a:spLocks noChangeArrowheads="1"/>
        </xdr:cNvSpPr>
      </xdr:nvSpPr>
      <xdr:spPr bwMode="auto">
        <a:xfrm>
          <a:off x="9169400" y="2692400"/>
          <a:ext cx="1155700" cy="55880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14</xdr:col>
      <xdr:colOff>134620</xdr:colOff>
      <xdr:row>15</xdr:row>
      <xdr:rowOff>130175</xdr:rowOff>
    </xdr:from>
    <xdr:to>
      <xdr:col>17</xdr:col>
      <xdr:colOff>548580</xdr:colOff>
      <xdr:row>18</xdr:row>
      <xdr:rowOff>74288</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9182100" y="3314700"/>
          <a:ext cx="35242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xdr:row>
      <xdr:rowOff>93345</xdr:rowOff>
    </xdr:from>
    <xdr:to>
      <xdr:col>10</xdr:col>
      <xdr:colOff>0</xdr:colOff>
      <xdr:row>1</xdr:row>
      <xdr:rowOff>657452</xdr:rowOff>
    </xdr:to>
    <xdr:sp macro="" textlink="">
      <xdr:nvSpPr>
        <xdr:cNvPr id="10244" name="Text Box 4">
          <a:extLst>
            <a:ext uri="{FF2B5EF4-FFF2-40B4-BE49-F238E27FC236}">
              <a16:creationId xmlns:a16="http://schemas.microsoft.com/office/drawing/2014/main" id="{00000000-0008-0000-0500-000004280000}"/>
            </a:ext>
          </a:extLst>
        </xdr:cNvPr>
        <xdr:cNvSpPr txBox="1">
          <a:spLocks noChangeArrowheads="1"/>
        </xdr:cNvSpPr>
      </xdr:nvSpPr>
      <xdr:spPr bwMode="auto">
        <a:xfrm>
          <a:off x="76200" y="295275"/>
          <a:ext cx="6248400" cy="561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any subdivision of land throughout the City of Thuringowa planning scheme area, other than in the Rural zoned land (Policy s1). Monetary contributions may be applicable in-lieu of land (Policy s3).</a:t>
          </a:r>
        </a:p>
      </xdr:txBody>
    </xdr:sp>
    <xdr:clientData/>
  </xdr:twoCellAnchor>
  <xdr:twoCellAnchor>
    <xdr:from>
      <xdr:col>14</xdr:col>
      <xdr:colOff>377190</xdr:colOff>
      <xdr:row>10</xdr:row>
      <xdr:rowOff>140970</xdr:rowOff>
    </xdr:from>
    <xdr:to>
      <xdr:col>16</xdr:col>
      <xdr:colOff>302915</xdr:colOff>
      <xdr:row>13</xdr:row>
      <xdr:rowOff>112341</xdr:rowOff>
    </xdr:to>
    <xdr:sp macro="" textlink="">
      <xdr:nvSpPr>
        <xdr:cNvPr id="10246" name="AutoShape 6">
          <a:hlinkClick xmlns:r="http://schemas.openxmlformats.org/officeDocument/2006/relationships" r:id="rId1"/>
          <a:extLst>
            <a:ext uri="{FF2B5EF4-FFF2-40B4-BE49-F238E27FC236}">
              <a16:creationId xmlns:a16="http://schemas.microsoft.com/office/drawing/2014/main" id="{00000000-0008-0000-0500-000006280000}"/>
            </a:ext>
          </a:extLst>
        </xdr:cNvPr>
        <xdr:cNvSpPr>
          <a:spLocks noChangeArrowheads="1"/>
        </xdr:cNvSpPr>
      </xdr:nvSpPr>
      <xdr:spPr bwMode="auto">
        <a:xfrm>
          <a:off x="9134475" y="2505075"/>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312420</xdr:colOff>
          <xdr:row>7</xdr:row>
          <xdr:rowOff>106680</xdr:rowOff>
        </xdr:from>
        <xdr:to>
          <xdr:col>7</xdr:col>
          <xdr:colOff>76200</xdr:colOff>
          <xdr:row>9</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4</xdr:col>
          <xdr:colOff>601980</xdr:colOff>
          <xdr:row>14</xdr:row>
          <xdr:rowOff>22860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7620</xdr:rowOff>
        </xdr:from>
        <xdr:to>
          <xdr:col>4</xdr:col>
          <xdr:colOff>601980</xdr:colOff>
          <xdr:row>15</xdr:row>
          <xdr:rowOff>30480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7620</xdr:rowOff>
        </xdr:from>
        <xdr:to>
          <xdr:col>4</xdr:col>
          <xdr:colOff>601980</xdr:colOff>
          <xdr:row>16</xdr:row>
          <xdr:rowOff>22860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6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22860</xdr:rowOff>
        </xdr:from>
        <xdr:to>
          <xdr:col>5</xdr:col>
          <xdr:colOff>7620</xdr:colOff>
          <xdr:row>22</xdr:row>
          <xdr:rowOff>30480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22860</xdr:rowOff>
        </xdr:from>
        <xdr:to>
          <xdr:col>5</xdr:col>
          <xdr:colOff>0</xdr:colOff>
          <xdr:row>23</xdr:row>
          <xdr:rowOff>30480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30480</xdr:rowOff>
        </xdr:from>
        <xdr:to>
          <xdr:col>5</xdr:col>
          <xdr:colOff>7620</xdr:colOff>
          <xdr:row>24</xdr:row>
          <xdr:rowOff>38100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22860</xdr:rowOff>
        </xdr:from>
        <xdr:to>
          <xdr:col>4</xdr:col>
          <xdr:colOff>601980</xdr:colOff>
          <xdr:row>24</xdr:row>
          <xdr:rowOff>30480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68580</xdr:rowOff>
        </xdr:from>
        <xdr:to>
          <xdr:col>7</xdr:col>
          <xdr:colOff>373380</xdr:colOff>
          <xdr:row>3</xdr:row>
          <xdr:rowOff>76200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123825</xdr:rowOff>
    </xdr:from>
    <xdr:to>
      <xdr:col>11</xdr:col>
      <xdr:colOff>407669</xdr:colOff>
      <xdr:row>1</xdr:row>
      <xdr:rowOff>819150</xdr:rowOff>
    </xdr:to>
    <xdr:sp macro="" textlink="">
      <xdr:nvSpPr>
        <xdr:cNvPr id="15380" name="Text Box 20">
          <a:extLst>
            <a:ext uri="{FF2B5EF4-FFF2-40B4-BE49-F238E27FC236}">
              <a16:creationId xmlns:a16="http://schemas.microsoft.com/office/drawing/2014/main" id="{00000000-0008-0000-0600-0000143C0000}"/>
            </a:ext>
          </a:extLst>
        </xdr:cNvPr>
        <xdr:cNvSpPr txBox="1">
          <a:spLocks noChangeArrowheads="1"/>
        </xdr:cNvSpPr>
      </xdr:nvSpPr>
      <xdr:spPr bwMode="auto">
        <a:xfrm>
          <a:off x="390525" y="552450"/>
          <a:ext cx="7086600" cy="695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(Policy s1.6 &amp; Schedule 9F)</a:t>
          </a:r>
        </a:p>
      </xdr:txBody>
    </xdr:sp>
    <xdr:clientData/>
  </xdr:twoCellAnchor>
  <xdr:twoCellAnchor>
    <xdr:from>
      <xdr:col>1</xdr:col>
      <xdr:colOff>71120</xdr:colOff>
      <xdr:row>34</xdr:row>
      <xdr:rowOff>79375</xdr:rowOff>
    </xdr:from>
    <xdr:to>
      <xdr:col>2</xdr:col>
      <xdr:colOff>447148</xdr:colOff>
      <xdr:row>37</xdr:row>
      <xdr:rowOff>136525</xdr:rowOff>
    </xdr:to>
    <xdr:sp macro="" textlink="">
      <xdr:nvSpPr>
        <xdr:cNvPr id="15382" name="AutoShape 22">
          <a:hlinkClick xmlns:r="http://schemas.openxmlformats.org/officeDocument/2006/relationships" r:id="rId1"/>
          <a:extLst>
            <a:ext uri="{FF2B5EF4-FFF2-40B4-BE49-F238E27FC236}">
              <a16:creationId xmlns:a16="http://schemas.microsoft.com/office/drawing/2014/main" id="{00000000-0008-0000-0600-0000163C0000}"/>
            </a:ext>
          </a:extLst>
        </xdr:cNvPr>
        <xdr:cNvSpPr>
          <a:spLocks noChangeArrowheads="1"/>
        </xdr:cNvSpPr>
      </xdr:nvSpPr>
      <xdr:spPr bwMode="auto">
        <a:xfrm>
          <a:off x="406400" y="7381875"/>
          <a:ext cx="114935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491490</xdr:colOff>
      <xdr:row>34</xdr:row>
      <xdr:rowOff>121920</xdr:rowOff>
    </xdr:from>
    <xdr:to>
      <xdr:col>7</xdr:col>
      <xdr:colOff>678815</xdr:colOff>
      <xdr:row>37</xdr:row>
      <xdr:rowOff>142901</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1600200" y="7416800"/>
          <a:ext cx="33718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236220</xdr:colOff>
      <xdr:row>1</xdr:row>
      <xdr:rowOff>47625</xdr:rowOff>
    </xdr:from>
    <xdr:to>
      <xdr:col>13</xdr:col>
      <xdr:colOff>445770</xdr:colOff>
      <xdr:row>1</xdr:row>
      <xdr:rowOff>664845</xdr:rowOff>
    </xdr:to>
    <xdr:sp macro="" textlink="">
      <xdr:nvSpPr>
        <xdr:cNvPr id="9219" name="Text Box 3">
          <a:extLst>
            <a:ext uri="{FF2B5EF4-FFF2-40B4-BE49-F238E27FC236}">
              <a16:creationId xmlns:a16="http://schemas.microsoft.com/office/drawing/2014/main" id="{00000000-0008-0000-0700-000003240000}"/>
            </a:ext>
          </a:extLst>
        </xdr:cNvPr>
        <xdr:cNvSpPr txBox="1">
          <a:spLocks noChangeArrowheads="1"/>
        </xdr:cNvSpPr>
      </xdr:nvSpPr>
      <xdr:spPr bwMode="auto">
        <a:xfrm>
          <a:off x="238125" y="257175"/>
          <a:ext cx="81534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an existing Sub-regional centre defined by a map in the policy, which allows Council to accept contributions in-lieu of the shortfall of on-site car parking spaces where it is demonstrated to be impractical, unreasonable, inconsistent with the City Centre Masterplan, and Council's consideration of a traffic impact assessment determines that charges in-lieu of the shortfall are warranted (Policy s2).</a:t>
          </a:r>
        </a:p>
      </xdr:txBody>
    </xdr:sp>
    <xdr:clientData/>
  </xdr:twoCellAnchor>
  <mc:AlternateContent xmlns:mc="http://schemas.openxmlformats.org/markup-compatibility/2006">
    <mc:Choice xmlns:a14="http://schemas.microsoft.com/office/drawing/2010/main" Requires="a14">
      <xdr:twoCellAnchor>
        <xdr:from>
          <xdr:col>0</xdr:col>
          <xdr:colOff>304800</xdr:colOff>
          <xdr:row>5</xdr:row>
          <xdr:rowOff>121920</xdr:rowOff>
        </xdr:from>
        <xdr:to>
          <xdr:col>7</xdr:col>
          <xdr:colOff>274320</xdr:colOff>
          <xdr:row>5</xdr:row>
          <xdr:rowOff>342900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0</xdr:rowOff>
        </xdr:from>
        <xdr:to>
          <xdr:col>4</xdr:col>
          <xdr:colOff>7620</xdr:colOff>
          <xdr:row>11</xdr:row>
          <xdr:rowOff>7620</xdr:rowOff>
        </xdr:to>
        <xdr:sp macro="" textlink="">
          <xdr:nvSpPr>
            <xdr:cNvPr id="11287" name="Drop Down 23" hidden="1">
              <a:extLst>
                <a:ext uri="{63B3BB69-23CF-44E3-9099-C40C66FF867C}">
                  <a14:compatExt spid="_x0000_s11287"/>
                </a:ext>
                <a:ext uri="{FF2B5EF4-FFF2-40B4-BE49-F238E27FC236}">
                  <a16:creationId xmlns:a16="http://schemas.microsoft.com/office/drawing/2014/main" id="{00000000-0008-0000-08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7620</xdr:rowOff>
        </xdr:from>
        <xdr:to>
          <xdr:col>4</xdr:col>
          <xdr:colOff>0</xdr:colOff>
          <xdr:row>12</xdr:row>
          <xdr:rowOff>22860</xdr:rowOff>
        </xdr:to>
        <xdr:sp macro="" textlink="">
          <xdr:nvSpPr>
            <xdr:cNvPr id="11288" name="Drop Down 24" hidden="1">
              <a:extLst>
                <a:ext uri="{63B3BB69-23CF-44E3-9099-C40C66FF867C}">
                  <a14:compatExt spid="_x0000_s11288"/>
                </a:ext>
                <a:ext uri="{FF2B5EF4-FFF2-40B4-BE49-F238E27FC236}">
                  <a16:creationId xmlns:a16="http://schemas.microsoft.com/office/drawing/2014/main" id="{00000000-0008-0000-08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4</xdr:col>
          <xdr:colOff>0</xdr:colOff>
          <xdr:row>13</xdr:row>
          <xdr:rowOff>7620</xdr:rowOff>
        </xdr:to>
        <xdr:sp macro="" textlink="">
          <xdr:nvSpPr>
            <xdr:cNvPr id="11289" name="Drop Down 25" hidden="1">
              <a:extLst>
                <a:ext uri="{63B3BB69-23CF-44E3-9099-C40C66FF867C}">
                  <a14:compatExt spid="_x0000_s11289"/>
                </a:ext>
                <a:ext uri="{FF2B5EF4-FFF2-40B4-BE49-F238E27FC236}">
                  <a16:creationId xmlns:a16="http://schemas.microsoft.com/office/drawing/2014/main" id="{00000000-0008-0000-08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4</xdr:col>
          <xdr:colOff>7620</xdr:colOff>
          <xdr:row>19</xdr:row>
          <xdr:rowOff>7620</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8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4</xdr:col>
          <xdr:colOff>7620</xdr:colOff>
          <xdr:row>20</xdr:row>
          <xdr:rowOff>7620</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8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152400</xdr:rowOff>
        </xdr:from>
        <xdr:to>
          <xdr:col>3</xdr:col>
          <xdr:colOff>944880</xdr:colOff>
          <xdr:row>27</xdr:row>
          <xdr:rowOff>160020</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8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0</xdr:rowOff>
        </xdr:from>
        <xdr:to>
          <xdr:col>4</xdr:col>
          <xdr:colOff>0</xdr:colOff>
          <xdr:row>21</xdr:row>
          <xdr:rowOff>7620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8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5</xdr:row>
          <xdr:rowOff>144780</xdr:rowOff>
        </xdr:from>
        <xdr:to>
          <xdr:col>6</xdr:col>
          <xdr:colOff>350520</xdr:colOff>
          <xdr:row>7</xdr:row>
          <xdr:rowOff>45720</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8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188595</xdr:colOff>
      <xdr:row>1</xdr:row>
      <xdr:rowOff>133350</xdr:rowOff>
    </xdr:from>
    <xdr:to>
      <xdr:col>10</xdr:col>
      <xdr:colOff>133352</xdr:colOff>
      <xdr:row>4</xdr:row>
      <xdr:rowOff>112420</xdr:rowOff>
    </xdr:to>
    <xdr:sp macro="" textlink="">
      <xdr:nvSpPr>
        <xdr:cNvPr id="11295" name="Text Box 31">
          <a:extLst>
            <a:ext uri="{FF2B5EF4-FFF2-40B4-BE49-F238E27FC236}">
              <a16:creationId xmlns:a16="http://schemas.microsoft.com/office/drawing/2014/main" id="{00000000-0008-0000-0800-00001F2C0000}"/>
            </a:ext>
          </a:extLst>
        </xdr:cNvPr>
        <xdr:cNvSpPr txBox="1">
          <a:spLocks noChangeArrowheads="1"/>
        </xdr:cNvSpPr>
      </xdr:nvSpPr>
      <xdr:spPr bwMode="auto">
        <a:xfrm>
          <a:off x="190500" y="676275"/>
          <a:ext cx="717232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 for urban or rural residential development purposes; (ii) serviced, planned to be serviced, or required to be serviced with trunk roads, and; (iii) present an increased demand on the trunk road network.</a:t>
          </a:r>
        </a:p>
      </xdr:txBody>
    </xdr:sp>
    <xdr:clientData/>
  </xdr:twoCellAnchor>
  <xdr:twoCellAnchor>
    <xdr:from>
      <xdr:col>0</xdr:col>
      <xdr:colOff>229870</xdr:colOff>
      <xdr:row>41</xdr:row>
      <xdr:rowOff>109220</xdr:rowOff>
    </xdr:from>
    <xdr:to>
      <xdr:col>2</xdr:col>
      <xdr:colOff>266741</xdr:colOff>
      <xdr:row>45</xdr:row>
      <xdr:rowOff>3101</xdr:rowOff>
    </xdr:to>
    <xdr:sp macro="" textlink="">
      <xdr:nvSpPr>
        <xdr:cNvPr id="11296" name="AutoShape 32">
          <a:hlinkClick xmlns:r="http://schemas.openxmlformats.org/officeDocument/2006/relationships" r:id="rId1"/>
          <a:extLst>
            <a:ext uri="{FF2B5EF4-FFF2-40B4-BE49-F238E27FC236}">
              <a16:creationId xmlns:a16="http://schemas.microsoft.com/office/drawing/2014/main" id="{00000000-0008-0000-0800-0000202C0000}"/>
            </a:ext>
          </a:extLst>
        </xdr:cNvPr>
        <xdr:cNvSpPr>
          <a:spLocks noChangeArrowheads="1"/>
        </xdr:cNvSpPr>
      </xdr:nvSpPr>
      <xdr:spPr bwMode="auto">
        <a:xfrm>
          <a:off x="231775" y="7912100"/>
          <a:ext cx="1149350"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340995</xdr:colOff>
      <xdr:row>42</xdr:row>
      <xdr:rowOff>53975</xdr:rowOff>
    </xdr:from>
    <xdr:to>
      <xdr:col>7</xdr:col>
      <xdr:colOff>574033</xdr:colOff>
      <xdr:row>45</xdr:row>
      <xdr:rowOff>41405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447800" y="8039100"/>
          <a:ext cx="41719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152400</xdr:rowOff>
        </xdr:from>
        <xdr:to>
          <xdr:col>6</xdr:col>
          <xdr:colOff>327660</xdr:colOff>
          <xdr:row>6</xdr:row>
          <xdr:rowOff>160020</xdr:rowOff>
        </xdr:to>
        <xdr:sp macro="" textlink="">
          <xdr:nvSpPr>
            <xdr:cNvPr id="12324" name="Drop Down 36" hidden="1">
              <a:extLst>
                <a:ext uri="{63B3BB69-23CF-44E3-9099-C40C66FF867C}">
                  <a14:compatExt spid="_x0000_s12324"/>
                </a:ext>
                <a:ext uri="{FF2B5EF4-FFF2-40B4-BE49-F238E27FC236}">
                  <a16:creationId xmlns:a16="http://schemas.microsoft.com/office/drawing/2014/main" id="{00000000-0008-0000-09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7620</xdr:rowOff>
        </xdr:from>
        <xdr:to>
          <xdr:col>4</xdr:col>
          <xdr:colOff>22860</xdr:colOff>
          <xdr:row>11</xdr:row>
          <xdr:rowOff>7620</xdr:rowOff>
        </xdr:to>
        <xdr:sp macro="" textlink="">
          <xdr:nvSpPr>
            <xdr:cNvPr id="12325" name="Drop Down 37" hidden="1">
              <a:extLst>
                <a:ext uri="{63B3BB69-23CF-44E3-9099-C40C66FF867C}">
                  <a14:compatExt spid="_x0000_s12325"/>
                </a:ext>
                <a:ext uri="{FF2B5EF4-FFF2-40B4-BE49-F238E27FC236}">
                  <a16:creationId xmlns:a16="http://schemas.microsoft.com/office/drawing/2014/main" id="{00000000-0008-0000-09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4</xdr:col>
          <xdr:colOff>7620</xdr:colOff>
          <xdr:row>12</xdr:row>
          <xdr:rowOff>0</xdr:rowOff>
        </xdr:to>
        <xdr:sp macro="" textlink="">
          <xdr:nvSpPr>
            <xdr:cNvPr id="12326" name="Drop Down 38" hidden="1">
              <a:extLst>
                <a:ext uri="{63B3BB69-23CF-44E3-9099-C40C66FF867C}">
                  <a14:compatExt spid="_x0000_s12326"/>
                </a:ext>
                <a:ext uri="{FF2B5EF4-FFF2-40B4-BE49-F238E27FC236}">
                  <a16:creationId xmlns:a16="http://schemas.microsoft.com/office/drawing/2014/main" id="{00000000-0008-0000-09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11</xdr:row>
          <xdr:rowOff>190500</xdr:rowOff>
        </xdr:from>
        <xdr:to>
          <xdr:col>4</xdr:col>
          <xdr:colOff>7620</xdr:colOff>
          <xdr:row>12</xdr:row>
          <xdr:rowOff>190500</xdr:rowOff>
        </xdr:to>
        <xdr:sp macro="" textlink="">
          <xdr:nvSpPr>
            <xdr:cNvPr id="12327" name="Drop Down 39" hidden="1">
              <a:extLst>
                <a:ext uri="{63B3BB69-23CF-44E3-9099-C40C66FF867C}">
                  <a14:compatExt spid="_x0000_s12327"/>
                </a:ext>
                <a:ext uri="{FF2B5EF4-FFF2-40B4-BE49-F238E27FC236}">
                  <a16:creationId xmlns:a16="http://schemas.microsoft.com/office/drawing/2014/main" id="{00000000-0008-0000-09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7620</xdr:rowOff>
        </xdr:from>
        <xdr:to>
          <xdr:col>4</xdr:col>
          <xdr:colOff>22860</xdr:colOff>
          <xdr:row>18</xdr:row>
          <xdr:rowOff>22860</xdr:rowOff>
        </xdr:to>
        <xdr:sp macro="" textlink="">
          <xdr:nvSpPr>
            <xdr:cNvPr id="12328" name="Drop Down 40" hidden="1">
              <a:extLst>
                <a:ext uri="{63B3BB69-23CF-44E3-9099-C40C66FF867C}">
                  <a14:compatExt spid="_x0000_s12328"/>
                </a:ext>
                <a:ext uri="{FF2B5EF4-FFF2-40B4-BE49-F238E27FC236}">
                  <a16:creationId xmlns:a16="http://schemas.microsoft.com/office/drawing/2014/main" id="{00000000-0008-0000-09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4</xdr:col>
          <xdr:colOff>7620</xdr:colOff>
          <xdr:row>19</xdr:row>
          <xdr:rowOff>7620</xdr:rowOff>
        </xdr:to>
        <xdr:sp macro="" textlink="">
          <xdr:nvSpPr>
            <xdr:cNvPr id="12329" name="Drop Down 41" hidden="1">
              <a:extLst>
                <a:ext uri="{63B3BB69-23CF-44E3-9099-C40C66FF867C}">
                  <a14:compatExt spid="_x0000_s12329"/>
                </a:ext>
                <a:ext uri="{FF2B5EF4-FFF2-40B4-BE49-F238E27FC236}">
                  <a16:creationId xmlns:a16="http://schemas.microsoft.com/office/drawing/2014/main" id="{00000000-0008-0000-09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19</xdr:row>
          <xdr:rowOff>0</xdr:rowOff>
        </xdr:from>
        <xdr:to>
          <xdr:col>4</xdr:col>
          <xdr:colOff>7620</xdr:colOff>
          <xdr:row>20</xdr:row>
          <xdr:rowOff>7620</xdr:rowOff>
        </xdr:to>
        <xdr:sp macro="" textlink="">
          <xdr:nvSpPr>
            <xdr:cNvPr id="12330" name="Drop Down 42" hidden="1">
              <a:extLst>
                <a:ext uri="{63B3BB69-23CF-44E3-9099-C40C66FF867C}">
                  <a14:compatExt spid="_x0000_s12330"/>
                </a:ext>
                <a:ext uri="{FF2B5EF4-FFF2-40B4-BE49-F238E27FC236}">
                  <a16:creationId xmlns:a16="http://schemas.microsoft.com/office/drawing/2014/main" id="{00000000-0008-0000-09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152400</xdr:rowOff>
        </xdr:from>
        <xdr:to>
          <xdr:col>4</xdr:col>
          <xdr:colOff>30480</xdr:colOff>
          <xdr:row>26</xdr:row>
          <xdr:rowOff>38100</xdr:rowOff>
        </xdr:to>
        <xdr:sp macro="" textlink="">
          <xdr:nvSpPr>
            <xdr:cNvPr id="12331" name="Drop Down 43" hidden="1">
              <a:extLst>
                <a:ext uri="{63B3BB69-23CF-44E3-9099-C40C66FF867C}">
                  <a14:compatExt spid="_x0000_s12331"/>
                </a:ext>
                <a:ext uri="{FF2B5EF4-FFF2-40B4-BE49-F238E27FC236}">
                  <a16:creationId xmlns:a16="http://schemas.microsoft.com/office/drawing/2014/main" id="{00000000-0008-0000-09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76200</xdr:rowOff>
    </xdr:from>
    <xdr:to>
      <xdr:col>11</xdr:col>
      <xdr:colOff>331469</xdr:colOff>
      <xdr:row>4</xdr:row>
      <xdr:rowOff>57309</xdr:rowOff>
    </xdr:to>
    <xdr:sp macro="" textlink="">
      <xdr:nvSpPr>
        <xdr:cNvPr id="12333" name="Text Box 45">
          <a:extLst>
            <a:ext uri="{FF2B5EF4-FFF2-40B4-BE49-F238E27FC236}">
              <a16:creationId xmlns:a16="http://schemas.microsoft.com/office/drawing/2014/main" id="{00000000-0008-0000-0900-00002D300000}"/>
            </a:ext>
          </a:extLst>
        </xdr:cNvPr>
        <xdr:cNvSpPr txBox="1">
          <a:spLocks noChangeArrowheads="1"/>
        </xdr:cNvSpPr>
      </xdr:nvSpPr>
      <xdr:spPr bwMode="auto">
        <a:xfrm>
          <a:off x="390525" y="552450"/>
          <a:ext cx="717232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 for urban or rural residential development purposes; (ii) serviced, planned to be serviced, or required to be serviced with trunk stormwater and; (iii) present an increased demand on the trunk stormwater network.</a:t>
          </a:r>
        </a:p>
      </xdr:txBody>
    </xdr:sp>
    <xdr:clientData/>
  </xdr:twoCellAnchor>
  <xdr:twoCellAnchor>
    <xdr:from>
      <xdr:col>0</xdr:col>
      <xdr:colOff>331470</xdr:colOff>
      <xdr:row>33</xdr:row>
      <xdr:rowOff>38100</xdr:rowOff>
    </xdr:from>
    <xdr:to>
      <xdr:col>2</xdr:col>
      <xdr:colOff>264795</xdr:colOff>
      <xdr:row>36</xdr:row>
      <xdr:rowOff>112470</xdr:rowOff>
    </xdr:to>
    <xdr:sp macro="" textlink="">
      <xdr:nvSpPr>
        <xdr:cNvPr id="12334" name="AutoShape 46">
          <a:hlinkClick xmlns:r="http://schemas.openxmlformats.org/officeDocument/2006/relationships" r:id="rId1"/>
          <a:extLst>
            <a:ext uri="{FF2B5EF4-FFF2-40B4-BE49-F238E27FC236}">
              <a16:creationId xmlns:a16="http://schemas.microsoft.com/office/drawing/2014/main" id="{00000000-0008-0000-0900-00002E300000}"/>
            </a:ext>
          </a:extLst>
        </xdr:cNvPr>
        <xdr:cNvSpPr>
          <a:spLocks noChangeArrowheads="1"/>
        </xdr:cNvSpPr>
      </xdr:nvSpPr>
      <xdr:spPr bwMode="auto">
        <a:xfrm>
          <a:off x="333375" y="6286500"/>
          <a:ext cx="115252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328295</xdr:colOff>
      <xdr:row>33</xdr:row>
      <xdr:rowOff>71120</xdr:rowOff>
    </xdr:from>
    <xdr:to>
      <xdr:col>7</xdr:col>
      <xdr:colOff>492819</xdr:colOff>
      <xdr:row>36</xdr:row>
      <xdr:rowOff>74295</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549400" y="6311900"/>
          <a:ext cx="3359150" cy="4984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8.v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10.xml"/><Relationship Id="rId16" Type="http://schemas.openxmlformats.org/officeDocument/2006/relationships/ctrlProp" Target="../ctrlProps/ctrlProp51.xml"/><Relationship Id="rId1" Type="http://schemas.openxmlformats.org/officeDocument/2006/relationships/printerSettings" Target="../printerSettings/printerSettings11.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N42"/>
  <sheetViews>
    <sheetView showGridLines="0" tabSelected="1" zoomScaleNormal="100" workbookViewId="0">
      <selection activeCell="F16" sqref="F16"/>
    </sheetView>
  </sheetViews>
  <sheetFormatPr defaultColWidth="9.109375" defaultRowHeight="13.2" x14ac:dyDescent="0.25"/>
  <cols>
    <col min="1" max="1" width="2.109375" style="109" customWidth="1"/>
    <col min="2" max="2" width="10.88671875" style="109" customWidth="1"/>
    <col min="3" max="15" width="9.109375" style="109"/>
    <col min="16" max="16" width="9.33203125" style="109" bestFit="1" customWidth="1"/>
    <col min="17" max="16384" width="9.109375" style="109"/>
  </cols>
  <sheetData>
    <row r="2" spans="2:2" x14ac:dyDescent="0.25">
      <c r="B2" s="109" t="s">
        <v>48</v>
      </c>
    </row>
    <row r="4" spans="2:2" ht="30" x14ac:dyDescent="0.5">
      <c r="B4" s="110" t="s">
        <v>47</v>
      </c>
    </row>
    <row r="5" spans="2:2" ht="22.8" x14ac:dyDescent="0.4">
      <c r="B5" s="111" t="s">
        <v>103</v>
      </c>
    </row>
    <row r="6" spans="2:2" ht="15" customHeight="1" x14ac:dyDescent="0.4">
      <c r="B6" s="111"/>
    </row>
    <row r="7" spans="2:2" ht="15" x14ac:dyDescent="0.25">
      <c r="B7" s="112" t="str">
        <f>"Version "&amp;INDEX(Amendments!$A$2:$A$63,MATCH(MAX(Amendments!B2:B63),Amendments!B2:B63,0))</f>
        <v>Version 4.52</v>
      </c>
    </row>
    <row r="9" spans="2:2" x14ac:dyDescent="0.25">
      <c r="B9" s="109" t="s">
        <v>104</v>
      </c>
    </row>
    <row r="10" spans="2:2" x14ac:dyDescent="0.25">
      <c r="B10" s="113" t="s">
        <v>491</v>
      </c>
    </row>
    <row r="11" spans="2:2" x14ac:dyDescent="0.25">
      <c r="B11" s="113"/>
    </row>
    <row r="12" spans="2:2" x14ac:dyDescent="0.25">
      <c r="B12" s="114" t="s">
        <v>289</v>
      </c>
    </row>
    <row r="13" spans="2:2" x14ac:dyDescent="0.25">
      <c r="B13" s="369" t="s">
        <v>288</v>
      </c>
    </row>
    <row r="14" spans="2:2" x14ac:dyDescent="0.25">
      <c r="B14" s="369" t="s">
        <v>3</v>
      </c>
    </row>
    <row r="15" spans="2:2" x14ac:dyDescent="0.25">
      <c r="B15" s="369" t="s">
        <v>13</v>
      </c>
    </row>
    <row r="16" spans="2:2" x14ac:dyDescent="0.25">
      <c r="B16" s="369" t="s">
        <v>11</v>
      </c>
    </row>
    <row r="17" spans="2:2" x14ac:dyDescent="0.25">
      <c r="B17" s="369"/>
    </row>
    <row r="18" spans="2:2" x14ac:dyDescent="0.25">
      <c r="B18" s="114" t="s">
        <v>290</v>
      </c>
    </row>
    <row r="19" spans="2:2" x14ac:dyDescent="0.25">
      <c r="B19" s="369" t="s">
        <v>12</v>
      </c>
    </row>
    <row r="20" spans="2:2" x14ac:dyDescent="0.25">
      <c r="B20" s="369" t="s">
        <v>7</v>
      </c>
    </row>
    <row r="21" spans="2:2" x14ac:dyDescent="0.25">
      <c r="B21" s="369" t="s">
        <v>8</v>
      </c>
    </row>
    <row r="22" spans="2:2" x14ac:dyDescent="0.25">
      <c r="B22" s="369" t="s">
        <v>9</v>
      </c>
    </row>
    <row r="23" spans="2:2" x14ac:dyDescent="0.25">
      <c r="B23" s="370" t="s">
        <v>5</v>
      </c>
    </row>
    <row r="24" spans="2:2" x14ac:dyDescent="0.25">
      <c r="B24" s="369" t="s">
        <v>10</v>
      </c>
    </row>
    <row r="25" spans="2:2" x14ac:dyDescent="0.25">
      <c r="B25" s="369"/>
    </row>
    <row r="26" spans="2:2" x14ac:dyDescent="0.25">
      <c r="B26" s="114" t="s">
        <v>291</v>
      </c>
    </row>
    <row r="27" spans="2:2" x14ac:dyDescent="0.25">
      <c r="B27" s="369" t="s">
        <v>49</v>
      </c>
    </row>
    <row r="28" spans="2:2" x14ac:dyDescent="0.25">
      <c r="B28" s="369" t="s">
        <v>2</v>
      </c>
    </row>
    <row r="29" spans="2:2" x14ac:dyDescent="0.25">
      <c r="B29" s="369" t="s">
        <v>50</v>
      </c>
    </row>
    <row r="30" spans="2:2" x14ac:dyDescent="0.25">
      <c r="B30" s="369" t="s">
        <v>607</v>
      </c>
    </row>
    <row r="31" spans="2:2" x14ac:dyDescent="0.25">
      <c r="B31" s="369" t="s">
        <v>6</v>
      </c>
    </row>
    <row r="32" spans="2:2" x14ac:dyDescent="0.25">
      <c r="B32" s="369" t="s">
        <v>4</v>
      </c>
    </row>
    <row r="33" spans="2:14" x14ac:dyDescent="0.25">
      <c r="B33" s="369"/>
    </row>
    <row r="34" spans="2:14" x14ac:dyDescent="0.25">
      <c r="B34" s="114" t="s">
        <v>320</v>
      </c>
    </row>
    <row r="35" spans="2:14" ht="45.75" customHeight="1" x14ac:dyDescent="0.25">
      <c r="B35" s="429" t="s">
        <v>321</v>
      </c>
      <c r="C35" s="429"/>
      <c r="D35" s="429"/>
      <c r="E35" s="429"/>
      <c r="F35" s="429"/>
      <c r="G35" s="429"/>
      <c r="H35" s="429"/>
      <c r="I35" s="429"/>
      <c r="J35" s="429"/>
      <c r="K35" s="429"/>
      <c r="L35" s="429"/>
      <c r="M35" s="429"/>
      <c r="N35" s="429"/>
    </row>
    <row r="42" spans="2:14" x14ac:dyDescent="0.25">
      <c r="B42" s="415"/>
    </row>
  </sheetData>
  <sheetProtection algorithmName="SHA-512" hashValue="HXlnj4M41DrVnvMt/6cDkt5DYM2P82rQWhld8aCQ3m8AQNDIHgx4U3E/d1S2mKb4UlvduB6yUTjNi9zRUdjMvA==" saltValue="yeIsycLabAlsEc3Rm5M1Nw==" spinCount="100000" sheet="1" objects="1" scenarios="1"/>
  <mergeCells count="1">
    <mergeCell ref="B35:N35"/>
  </mergeCells>
  <phoneticPr fontId="4" type="noConversion"/>
  <pageMargins left="0.75" right="0.75" top="1" bottom="1" header="0.5" footer="0.5"/>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W160"/>
  <sheetViews>
    <sheetView showGridLines="0" zoomScale="75" workbookViewId="0">
      <selection activeCell="H11" sqref="H11"/>
    </sheetView>
  </sheetViews>
  <sheetFormatPr defaultColWidth="9.109375" defaultRowHeight="13.2" x14ac:dyDescent="0.25"/>
  <cols>
    <col min="1" max="1" width="5.109375" style="109" customWidth="1"/>
    <col min="2" max="2" width="13.109375" style="109" customWidth="1"/>
    <col min="3" max="3" width="11.6640625" style="109" customWidth="1"/>
    <col min="4" max="5" width="9" style="109" customWidth="1"/>
    <col min="6" max="7" width="9.109375" style="109"/>
    <col min="8" max="8" width="11.5546875" style="109" customWidth="1"/>
    <col min="9" max="9" width="10.33203125" style="109" customWidth="1"/>
    <col min="10" max="10" width="9.109375" style="109"/>
    <col min="11" max="11" width="11.33203125" style="109" customWidth="1"/>
    <col min="12" max="17" width="9.109375" style="109"/>
    <col min="18" max="18" width="12.109375" style="109" customWidth="1"/>
    <col min="19" max="19" width="16" style="109" customWidth="1"/>
    <col min="20" max="20" width="11.88671875" style="109" customWidth="1"/>
    <col min="21" max="22" width="9.109375" style="109"/>
    <col min="23" max="23" width="9.109375" style="109" hidden="1" customWidth="1"/>
    <col min="24" max="25" width="9.109375" style="109"/>
    <col min="26" max="26" width="12.109375" style="109" customWidth="1"/>
    <col min="27" max="16384" width="9.109375" style="109"/>
  </cols>
  <sheetData>
    <row r="1" spans="1:23" ht="37.5" customHeight="1" x14ac:dyDescent="0.25">
      <c r="A1" s="571" t="s">
        <v>257</v>
      </c>
      <c r="B1" s="553"/>
      <c r="C1" s="553"/>
      <c r="D1" s="553"/>
      <c r="E1" s="553"/>
      <c r="F1" s="553"/>
      <c r="G1" s="553"/>
      <c r="H1" s="553"/>
      <c r="I1" s="553"/>
      <c r="L1" s="207" t="s">
        <v>328</v>
      </c>
    </row>
    <row r="2" spans="1:23" ht="15.6" x14ac:dyDescent="0.3">
      <c r="A2" s="206"/>
      <c r="O2" s="210"/>
    </row>
    <row r="3" spans="1:23" ht="15.6" x14ac:dyDescent="0.3">
      <c r="A3" s="206"/>
      <c r="O3" s="210"/>
    </row>
    <row r="4" spans="1:23" ht="15.6" x14ac:dyDescent="0.3">
      <c r="A4" s="206"/>
      <c r="O4" s="210"/>
    </row>
    <row r="5" spans="1:23" ht="15.6" x14ac:dyDescent="0.3">
      <c r="A5" s="206"/>
      <c r="O5" s="210"/>
    </row>
    <row r="6" spans="1:23" x14ac:dyDescent="0.25">
      <c r="E6" s="136"/>
      <c r="F6" s="136"/>
      <c r="G6" s="136"/>
      <c r="H6" s="136"/>
      <c r="I6" s="136"/>
      <c r="J6" s="136"/>
      <c r="K6" s="136"/>
      <c r="L6" s="136"/>
      <c r="M6" s="136"/>
      <c r="N6" s="136"/>
      <c r="O6" s="136"/>
    </row>
    <row r="7" spans="1:23" ht="15" customHeight="1" x14ac:dyDescent="0.25">
      <c r="A7" s="135" t="s">
        <v>44</v>
      </c>
      <c r="B7" s="137" t="s">
        <v>30</v>
      </c>
      <c r="W7" s="138">
        <v>1</v>
      </c>
    </row>
    <row r="8" spans="1:23" x14ac:dyDescent="0.25">
      <c r="W8" s="138"/>
    </row>
    <row r="9" spans="1:23" x14ac:dyDescent="0.25">
      <c r="A9" s="135" t="s">
        <v>37</v>
      </c>
      <c r="B9" s="137" t="s">
        <v>329</v>
      </c>
      <c r="W9" s="138"/>
    </row>
    <row r="10" spans="1:23" ht="15.75" customHeight="1" x14ac:dyDescent="0.25">
      <c r="B10" s="465" t="s">
        <v>32</v>
      </c>
      <c r="C10" s="466"/>
      <c r="D10" s="466"/>
      <c r="E10" s="465" t="s">
        <v>17</v>
      </c>
      <c r="F10" s="466"/>
      <c r="G10" s="467"/>
      <c r="H10" s="7" t="s">
        <v>33</v>
      </c>
      <c r="I10" s="7" t="s">
        <v>258</v>
      </c>
      <c r="J10" s="64" t="s">
        <v>330</v>
      </c>
      <c r="W10" s="138"/>
    </row>
    <row r="11" spans="1:23" ht="15.75" customHeight="1" x14ac:dyDescent="0.25">
      <c r="B11" s="209"/>
      <c r="C11" s="139"/>
      <c r="D11" s="139"/>
      <c r="E11" s="502" t="str">
        <f>+IF(W11&gt;1,INDEX($S$72:$S$77,W11),"")</f>
        <v/>
      </c>
      <c r="F11" s="572"/>
      <c r="G11" s="503"/>
      <c r="H11" s="78"/>
      <c r="I11" s="12" t="str">
        <f>+IF(W11&gt;1,INDEX($T$72:$T$77,W11)," ")</f>
        <v xml:space="preserve"> </v>
      </c>
      <c r="J11" s="1" t="str">
        <f>+IF(I11=" ","",H11*I11)</f>
        <v/>
      </c>
      <c r="W11" s="138">
        <v>1</v>
      </c>
    </row>
    <row r="12" spans="1:23" ht="15.75" customHeight="1" x14ac:dyDescent="0.25">
      <c r="B12" s="209"/>
      <c r="C12" s="139"/>
      <c r="D12" s="139"/>
      <c r="E12" s="502" t="str">
        <f>+IF(W12&gt;1,INDEX($S$72:$S$77,W12),"")</f>
        <v/>
      </c>
      <c r="F12" s="572"/>
      <c r="G12" s="503"/>
      <c r="H12" s="78"/>
      <c r="I12" s="12" t="str">
        <f>+IF(W12&gt;1,INDEX($T$72:$T$77,W12)," ")</f>
        <v xml:space="preserve"> </v>
      </c>
      <c r="J12" s="1" t="str">
        <f>+IF(I12=" ","",H12*I12)</f>
        <v/>
      </c>
      <c r="W12" s="138">
        <v>1</v>
      </c>
    </row>
    <row r="13" spans="1:23" ht="15.75" customHeight="1" x14ac:dyDescent="0.25">
      <c r="E13" s="502" t="str">
        <f>+IF(W13&gt;1,INDEX($S$72:$S$77,W13),"")</f>
        <v/>
      </c>
      <c r="F13" s="572"/>
      <c r="G13" s="503"/>
      <c r="H13" s="78"/>
      <c r="I13" s="12" t="str">
        <f>+IF(W13&gt;1,INDEX($T$72:$T$77,W13)," ")</f>
        <v xml:space="preserve"> </v>
      </c>
      <c r="J13" s="1" t="str">
        <f>+IF(I13=" ","",H13*I13)</f>
        <v/>
      </c>
      <c r="W13" s="138">
        <v>1</v>
      </c>
    </row>
    <row r="14" spans="1:23" x14ac:dyDescent="0.25">
      <c r="I14" s="143" t="s">
        <v>36</v>
      </c>
      <c r="J14" s="19">
        <f>SUM(J11:J13)</f>
        <v>0</v>
      </c>
      <c r="W14" s="138"/>
    </row>
    <row r="15" spans="1:23" x14ac:dyDescent="0.25">
      <c r="W15" s="138"/>
    </row>
    <row r="16" spans="1:23" x14ac:dyDescent="0.25">
      <c r="A16" s="135" t="s">
        <v>38</v>
      </c>
      <c r="B16" s="137" t="s">
        <v>331</v>
      </c>
      <c r="W16" s="138"/>
    </row>
    <row r="17" spans="1:23" x14ac:dyDescent="0.25">
      <c r="B17" s="465" t="s">
        <v>32</v>
      </c>
      <c r="C17" s="466"/>
      <c r="D17" s="466"/>
      <c r="E17" s="465" t="s">
        <v>17</v>
      </c>
      <c r="F17" s="466"/>
      <c r="G17" s="467"/>
      <c r="H17" s="7" t="s">
        <v>33</v>
      </c>
      <c r="I17" s="7" t="s">
        <v>258</v>
      </c>
      <c r="J17" s="64" t="s">
        <v>330</v>
      </c>
      <c r="W17" s="138"/>
    </row>
    <row r="18" spans="1:23" ht="15" customHeight="1" x14ac:dyDescent="0.25">
      <c r="B18" s="209"/>
      <c r="C18" s="139"/>
      <c r="D18" s="139"/>
      <c r="E18" s="502" t="str">
        <f>+IF(W18&gt;1,INDEX($S$72:$S$77,W18),"")</f>
        <v/>
      </c>
      <c r="F18" s="572"/>
      <c r="G18" s="503"/>
      <c r="H18" s="78"/>
      <c r="I18" s="12" t="str">
        <f>+IF(W18&gt;1,INDEX($T$72:$T$77,W18)," ")</f>
        <v xml:space="preserve"> </v>
      </c>
      <c r="J18" s="1" t="str">
        <f>+IF(I18=" ","",H18*I18)</f>
        <v/>
      </c>
      <c r="W18" s="138">
        <v>1</v>
      </c>
    </row>
    <row r="19" spans="1:23" ht="15" customHeight="1" x14ac:dyDescent="0.25">
      <c r="B19" s="209"/>
      <c r="C19" s="139"/>
      <c r="D19" s="139"/>
      <c r="E19" s="502" t="str">
        <f>+IF(W19&gt;1,INDEX($S$72:$S$77,W19),"")</f>
        <v/>
      </c>
      <c r="F19" s="572"/>
      <c r="G19" s="503"/>
      <c r="H19" s="78"/>
      <c r="I19" s="12" t="str">
        <f>+IF(W19&gt;1,INDEX($T$72:$T$77,W19)," ")</f>
        <v xml:space="preserve"> </v>
      </c>
      <c r="J19" s="1" t="str">
        <f>+IF(I19=" ","",H19*I19)</f>
        <v/>
      </c>
      <c r="W19" s="138">
        <v>1</v>
      </c>
    </row>
    <row r="20" spans="1:23" ht="15" customHeight="1" x14ac:dyDescent="0.25">
      <c r="E20" s="502" t="str">
        <f>+IF(W20&gt;1,INDEX($S$72:$S$77,W20),"")</f>
        <v/>
      </c>
      <c r="F20" s="572"/>
      <c r="G20" s="503"/>
      <c r="H20" s="78"/>
      <c r="I20" s="12" t="str">
        <f>+IF(W20&gt;1,INDEX($T$72:$T$77,W20)," ")</f>
        <v xml:space="preserve"> </v>
      </c>
      <c r="J20" s="1" t="str">
        <f>+IF(I20=" ","",H20*I20)</f>
        <v/>
      </c>
      <c r="W20" s="138">
        <v>1</v>
      </c>
    </row>
    <row r="21" spans="1:23" ht="15" customHeight="1" x14ac:dyDescent="0.25">
      <c r="I21" s="143" t="s">
        <v>36</v>
      </c>
      <c r="J21" s="19">
        <f>SUM(J18:J20)</f>
        <v>0</v>
      </c>
      <c r="W21" s="138">
        <v>1</v>
      </c>
    </row>
    <row r="22" spans="1:23" ht="15" customHeight="1" x14ac:dyDescent="0.25">
      <c r="H22" s="143"/>
      <c r="I22" s="237"/>
      <c r="W22" s="138"/>
    </row>
    <row r="23" spans="1:23" x14ac:dyDescent="0.25">
      <c r="A23" s="135" t="s">
        <v>39</v>
      </c>
      <c r="B23" s="137" t="s">
        <v>332</v>
      </c>
      <c r="W23" s="138"/>
    </row>
    <row r="24" spans="1:23" x14ac:dyDescent="0.25">
      <c r="B24" s="479" t="str">
        <f>+IF(W7=1,"Precinct","Location")</f>
        <v>Precinct</v>
      </c>
      <c r="C24" s="480"/>
      <c r="D24" s="480"/>
      <c r="E24" s="465" t="s">
        <v>41</v>
      </c>
      <c r="F24" s="466"/>
      <c r="G24" s="467"/>
      <c r="H24" s="505" t="s">
        <v>100</v>
      </c>
      <c r="I24" s="465" t="s">
        <v>101</v>
      </c>
      <c r="J24" s="467"/>
      <c r="W24" s="138"/>
    </row>
    <row r="25" spans="1:23" x14ac:dyDescent="0.25">
      <c r="B25" s="482"/>
      <c r="C25" s="483"/>
      <c r="D25" s="483"/>
      <c r="E25" s="7" t="s">
        <v>333</v>
      </c>
      <c r="F25" s="7" t="s">
        <v>29</v>
      </c>
      <c r="G25" s="7" t="s">
        <v>287</v>
      </c>
      <c r="H25" s="506"/>
      <c r="I25" s="7" t="str">
        <f>+E25</f>
        <v>$/EDU</v>
      </c>
      <c r="J25" s="7" t="s">
        <v>29</v>
      </c>
      <c r="W25" s="138"/>
    </row>
    <row r="26" spans="1:23" ht="15" customHeight="1" x14ac:dyDescent="0.25">
      <c r="B26" s="209"/>
      <c r="C26" s="139"/>
      <c r="D26" s="139"/>
      <c r="E26" s="75">
        <f>+INDEX(K63:K65,W26)</f>
        <v>0</v>
      </c>
      <c r="F26" s="61" t="s">
        <v>294</v>
      </c>
      <c r="G26" s="76">
        <v>91.8</v>
      </c>
      <c r="H26" s="77">
        <f>+'June 2009 Summary'!$D$16/'Storm Water'!$G$26</f>
        <v>1.0370370370370372</v>
      </c>
      <c r="I26" s="75">
        <f>+E26*H26</f>
        <v>0</v>
      </c>
      <c r="J26" s="61" t="str">
        <f>+'June 2009 Summary'!$D$14</f>
        <v>Jun '09</v>
      </c>
      <c r="W26" s="138">
        <v>1</v>
      </c>
    </row>
    <row r="27" spans="1:23" x14ac:dyDescent="0.25">
      <c r="B27" s="140"/>
      <c r="E27" s="140" t="s">
        <v>297</v>
      </c>
      <c r="H27" s="140"/>
    </row>
    <row r="29" spans="1:23" x14ac:dyDescent="0.25">
      <c r="A29" s="135" t="s">
        <v>40</v>
      </c>
      <c r="B29" s="137" t="s">
        <v>334</v>
      </c>
    </row>
    <row r="30" spans="1:23" x14ac:dyDescent="0.25">
      <c r="B30" s="149" t="s">
        <v>335</v>
      </c>
      <c r="C30" s="220">
        <f>+IF(J14&gt;J21,(J14-J21)*I26,0)</f>
        <v>0</v>
      </c>
      <c r="D30" s="223" t="str">
        <f>+J26</f>
        <v>Jun '09</v>
      </c>
      <c r="E30" s="150" t="str">
        <f>+IF(J21&gt;J14,"No credit in excess of the demand is given","")</f>
        <v/>
      </c>
    </row>
    <row r="32" spans="1:23" x14ac:dyDescent="0.25">
      <c r="B32" s="135"/>
      <c r="C32" s="238"/>
    </row>
    <row r="33" spans="1:5" x14ac:dyDescent="0.25">
      <c r="A33" s="135"/>
    </row>
    <row r="34" spans="1:5" x14ac:dyDescent="0.25">
      <c r="E34" s="148"/>
    </row>
    <row r="35" spans="1:5" x14ac:dyDescent="0.25">
      <c r="E35" s="148"/>
    </row>
    <row r="36" spans="1:5" x14ac:dyDescent="0.25">
      <c r="E36" s="148"/>
    </row>
    <row r="37" spans="1:5" x14ac:dyDescent="0.25">
      <c r="E37" s="148"/>
    </row>
    <row r="38" spans="1:5" x14ac:dyDescent="0.25">
      <c r="E38" s="148"/>
    </row>
    <row r="39" spans="1:5" x14ac:dyDescent="0.25">
      <c r="E39" s="148"/>
    </row>
    <row r="40" spans="1:5" x14ac:dyDescent="0.25">
      <c r="E40" s="148"/>
    </row>
    <row r="41" spans="1:5" x14ac:dyDescent="0.25">
      <c r="E41" s="148"/>
    </row>
    <row r="42" spans="1:5" x14ac:dyDescent="0.25">
      <c r="E42" s="148"/>
    </row>
    <row r="43" spans="1:5" x14ac:dyDescent="0.25">
      <c r="E43" s="148"/>
    </row>
    <row r="44" spans="1:5" x14ac:dyDescent="0.25">
      <c r="E44" s="148"/>
    </row>
    <row r="45" spans="1:5" x14ac:dyDescent="0.25">
      <c r="E45" s="148"/>
    </row>
    <row r="46" spans="1:5" x14ac:dyDescent="0.25">
      <c r="E46" s="148"/>
    </row>
    <row r="47" spans="1:5" x14ac:dyDescent="0.25">
      <c r="E47" s="148"/>
    </row>
    <row r="48" spans="1:5" x14ac:dyDescent="0.25">
      <c r="E48" s="148"/>
    </row>
    <row r="49" spans="2:12" x14ac:dyDescent="0.25">
      <c r="E49" s="148"/>
    </row>
    <row r="51" spans="2:12" x14ac:dyDescent="0.25">
      <c r="C51" s="156"/>
    </row>
    <row r="52" spans="2:12" ht="15" x14ac:dyDescent="0.4">
      <c r="B52" s="200"/>
      <c r="C52" s="239"/>
    </row>
    <row r="53" spans="2:12" x14ac:dyDescent="0.25">
      <c r="B53" s="200"/>
      <c r="C53" s="156"/>
      <c r="E53" s="140"/>
    </row>
    <row r="54" spans="2:12" ht="15" x14ac:dyDescent="0.4">
      <c r="B54" s="200"/>
      <c r="C54" s="239"/>
      <c r="E54" s="223"/>
    </row>
    <row r="55" spans="2:12" x14ac:dyDescent="0.25">
      <c r="C55" s="148"/>
      <c r="E55" s="223"/>
    </row>
    <row r="56" spans="2:12" x14ac:dyDescent="0.25">
      <c r="B56" s="200"/>
      <c r="C56" s="240"/>
    </row>
    <row r="57" spans="2:12" ht="12" customHeight="1" x14ac:dyDescent="0.4">
      <c r="C57" s="241"/>
      <c r="E57" s="223"/>
    </row>
    <row r="60" spans="2:12" x14ac:dyDescent="0.25">
      <c r="B60" s="158" t="s">
        <v>42</v>
      </c>
    </row>
    <row r="61" spans="2:12" x14ac:dyDescent="0.25">
      <c r="H61" s="465" t="s">
        <v>336</v>
      </c>
      <c r="I61" s="466"/>
      <c r="J61" s="466"/>
      <c r="K61" s="466"/>
      <c r="L61" s="467"/>
    </row>
    <row r="62" spans="2:12" x14ac:dyDescent="0.25">
      <c r="B62" s="462" t="s">
        <v>30</v>
      </c>
      <c r="C62" s="463"/>
      <c r="D62" s="463"/>
      <c r="E62" s="464"/>
      <c r="H62" s="465" t="s">
        <v>337</v>
      </c>
      <c r="I62" s="466"/>
      <c r="J62" s="466"/>
      <c r="K62" s="64" t="s">
        <v>333</v>
      </c>
      <c r="L62" s="7"/>
    </row>
    <row r="63" spans="2:12" x14ac:dyDescent="0.25">
      <c r="B63" s="20" t="s">
        <v>35</v>
      </c>
      <c r="C63" s="21"/>
      <c r="D63" s="21"/>
      <c r="E63" s="22"/>
      <c r="H63" s="20" t="s">
        <v>35</v>
      </c>
      <c r="I63" s="21"/>
      <c r="J63" s="21"/>
      <c r="K63" s="173"/>
      <c r="L63" s="18"/>
    </row>
    <row r="64" spans="2:12" x14ac:dyDescent="0.25">
      <c r="B64" s="167" t="s">
        <v>31</v>
      </c>
      <c r="C64" s="168"/>
      <c r="D64" s="168"/>
      <c r="E64" s="169"/>
      <c r="H64" s="167" t="s">
        <v>193</v>
      </c>
      <c r="I64" s="168"/>
      <c r="J64" s="168"/>
      <c r="K64" s="174">
        <v>400</v>
      </c>
      <c r="L64" s="172"/>
    </row>
    <row r="65" spans="2:20" x14ac:dyDescent="0.25">
      <c r="B65" s="202" t="s">
        <v>259</v>
      </c>
      <c r="C65" s="170"/>
      <c r="D65" s="170"/>
      <c r="E65" s="171"/>
      <c r="H65" s="231"/>
      <c r="I65" s="170"/>
      <c r="J65" s="170"/>
      <c r="K65" s="175"/>
      <c r="L65" s="84"/>
    </row>
    <row r="70" spans="2:20" ht="12.75" customHeight="1" x14ac:dyDescent="0.25">
      <c r="B70" s="573" t="s">
        <v>338</v>
      </c>
      <c r="C70" s="574"/>
      <c r="D70" s="574"/>
      <c r="E70" s="574"/>
      <c r="F70" s="575"/>
      <c r="H70" s="573" t="s">
        <v>339</v>
      </c>
      <c r="I70" s="574"/>
      <c r="J70" s="574"/>
      <c r="K70" s="574"/>
      <c r="L70" s="575"/>
      <c r="P70" s="474" t="s">
        <v>43</v>
      </c>
      <c r="Q70" s="475"/>
      <c r="R70" s="475"/>
      <c r="S70" s="475"/>
      <c r="T70" s="476"/>
    </row>
    <row r="71" spans="2:20" x14ac:dyDescent="0.25">
      <c r="B71" s="555" t="s">
        <v>340</v>
      </c>
      <c r="C71" s="480"/>
      <c r="D71" s="242"/>
      <c r="E71" s="90" t="s">
        <v>17</v>
      </c>
      <c r="F71" s="243" t="s">
        <v>258</v>
      </c>
      <c r="H71" s="479" t="s">
        <v>341</v>
      </c>
      <c r="I71" s="480"/>
      <c r="J71" s="242"/>
      <c r="K71" s="90" t="s">
        <v>17</v>
      </c>
      <c r="L71" s="243" t="s">
        <v>258</v>
      </c>
      <c r="P71" s="244" t="str">
        <f>IF($W$7=2,B71,IF($W$7=3,H71,""))</f>
        <v/>
      </c>
      <c r="Q71" s="163"/>
      <c r="R71" s="164"/>
      <c r="S71" s="8" t="str">
        <f>IF($W$7=2,E71,IF($W$7=3,K71,""))</f>
        <v/>
      </c>
      <c r="T71" s="7" t="str">
        <f>IF($W$7=2,F71,IF($W$7=3,L71,""))</f>
        <v/>
      </c>
    </row>
    <row r="72" spans="2:20" x14ac:dyDescent="0.25">
      <c r="B72" s="20" t="s">
        <v>35</v>
      </c>
      <c r="C72" s="21"/>
      <c r="D72" s="21"/>
      <c r="E72" s="228" t="s">
        <v>35</v>
      </c>
      <c r="F72" s="22" t="s">
        <v>35</v>
      </c>
      <c r="H72" s="20" t="s">
        <v>35</v>
      </c>
      <c r="I72" s="21"/>
      <c r="J72" s="21"/>
      <c r="K72" s="228"/>
      <c r="L72" s="22"/>
      <c r="P72" s="183"/>
      <c r="Q72" s="21"/>
      <c r="R72" s="21"/>
      <c r="S72" s="173"/>
      <c r="T72" s="18"/>
    </row>
    <row r="73" spans="2:20" x14ac:dyDescent="0.25">
      <c r="B73" s="167" t="s">
        <v>229</v>
      </c>
      <c r="C73" s="168"/>
      <c r="D73" s="168"/>
      <c r="E73" s="174" t="s">
        <v>323</v>
      </c>
      <c r="F73" s="204">
        <v>1</v>
      </c>
      <c r="H73" s="167" t="s">
        <v>342</v>
      </c>
      <c r="I73" s="168"/>
      <c r="J73" s="168"/>
      <c r="K73" s="174" t="s">
        <v>176</v>
      </c>
      <c r="L73" s="204">
        <v>1</v>
      </c>
      <c r="P73" s="188" t="str">
        <f>IF($W$7=2,B73,IF($W$7=3,H73,""))</f>
        <v/>
      </c>
      <c r="Q73" s="189"/>
      <c r="R73" s="189"/>
      <c r="S73" s="191" t="str">
        <f t="shared" ref="S73:T77" si="0">IF($W$7=2,E73,IF($W$7=3,K73,""))</f>
        <v/>
      </c>
      <c r="T73" s="192" t="str">
        <f t="shared" si="0"/>
        <v/>
      </c>
    </row>
    <row r="74" spans="2:20" x14ac:dyDescent="0.25">
      <c r="B74" s="167" t="s">
        <v>116</v>
      </c>
      <c r="C74" s="168"/>
      <c r="D74" s="168"/>
      <c r="E74" s="229" t="s">
        <v>323</v>
      </c>
      <c r="F74" s="204">
        <v>1</v>
      </c>
      <c r="H74" s="201" t="s">
        <v>343</v>
      </c>
      <c r="I74" s="168"/>
      <c r="J74" s="168"/>
      <c r="K74" s="229" t="s">
        <v>344</v>
      </c>
      <c r="L74" s="204">
        <v>0.7</v>
      </c>
      <c r="P74" s="188" t="str">
        <f>IF($W$7=2,B74,IF($W$7=3,H74,""))</f>
        <v/>
      </c>
      <c r="Q74" s="189"/>
      <c r="R74" s="189"/>
      <c r="S74" s="191" t="str">
        <f t="shared" si="0"/>
        <v/>
      </c>
      <c r="T74" s="192" t="str">
        <f t="shared" si="0"/>
        <v/>
      </c>
    </row>
    <row r="75" spans="2:20" x14ac:dyDescent="0.25">
      <c r="B75" s="167" t="s">
        <v>345</v>
      </c>
      <c r="C75" s="168"/>
      <c r="D75" s="168"/>
      <c r="E75" s="229" t="s">
        <v>323</v>
      </c>
      <c r="F75" s="204">
        <v>1</v>
      </c>
      <c r="G75" s="109" t="s">
        <v>35</v>
      </c>
      <c r="H75" s="167" t="s">
        <v>346</v>
      </c>
      <c r="I75" s="168"/>
      <c r="J75" s="168"/>
      <c r="K75" s="229" t="s">
        <v>344</v>
      </c>
      <c r="L75" s="204">
        <v>1</v>
      </c>
      <c r="P75" s="188" t="str">
        <f>IF($W$7=2,B75,IF($W$7=3,H75,""))</f>
        <v/>
      </c>
      <c r="Q75" s="189"/>
      <c r="R75" s="189"/>
      <c r="S75" s="191" t="str">
        <f t="shared" si="0"/>
        <v/>
      </c>
      <c r="T75" s="192" t="str">
        <f t="shared" si="0"/>
        <v/>
      </c>
    </row>
    <row r="76" spans="2:20" x14ac:dyDescent="0.25">
      <c r="B76" s="167" t="s">
        <v>347</v>
      </c>
      <c r="C76" s="168"/>
      <c r="D76" s="168"/>
      <c r="E76" s="229" t="s">
        <v>323</v>
      </c>
      <c r="F76" s="204">
        <v>1</v>
      </c>
      <c r="G76" s="109" t="s">
        <v>35</v>
      </c>
      <c r="H76" s="167" t="s">
        <v>348</v>
      </c>
      <c r="I76" s="168"/>
      <c r="J76" s="168"/>
      <c r="K76" s="229" t="s">
        <v>344</v>
      </c>
      <c r="L76" s="204">
        <v>0.9</v>
      </c>
      <c r="P76" s="188" t="str">
        <f>IF($W$7=2,B76,IF($W$7=3,H76,""))</f>
        <v/>
      </c>
      <c r="Q76" s="189"/>
      <c r="R76" s="189"/>
      <c r="S76" s="191" t="str">
        <f t="shared" si="0"/>
        <v/>
      </c>
      <c r="T76" s="192" t="str">
        <f t="shared" si="0"/>
        <v/>
      </c>
    </row>
    <row r="77" spans="2:20" x14ac:dyDescent="0.25">
      <c r="B77" s="85" t="s">
        <v>35</v>
      </c>
      <c r="C77" s="170"/>
      <c r="D77" s="170"/>
      <c r="E77" s="232" t="s">
        <v>35</v>
      </c>
      <c r="F77" s="217" t="s">
        <v>35</v>
      </c>
      <c r="G77" s="109" t="s">
        <v>35</v>
      </c>
      <c r="H77" s="85" t="s">
        <v>35</v>
      </c>
      <c r="I77" s="170"/>
      <c r="J77" s="170"/>
      <c r="K77" s="232" t="s">
        <v>35</v>
      </c>
      <c r="L77" s="217" t="s">
        <v>35</v>
      </c>
      <c r="P77" s="193" t="str">
        <f>IF($W$7=2,B77,IF($W$7=3,H77,""))</f>
        <v/>
      </c>
      <c r="Q77" s="194"/>
      <c r="R77" s="194"/>
      <c r="S77" s="196" t="str">
        <f t="shared" si="0"/>
        <v/>
      </c>
      <c r="T77" s="197" t="str">
        <f t="shared" si="0"/>
        <v/>
      </c>
    </row>
    <row r="98" spans="3:15" x14ac:dyDescent="0.25">
      <c r="O98" s="136"/>
    </row>
    <row r="99" spans="3:15" x14ac:dyDescent="0.25">
      <c r="O99" s="136"/>
    </row>
    <row r="101" spans="3:15" x14ac:dyDescent="0.25">
      <c r="C101" s="109" t="s">
        <v>35</v>
      </c>
      <c r="D101" s="109" t="s">
        <v>35</v>
      </c>
    </row>
    <row r="130" spans="10:15" x14ac:dyDescent="0.25">
      <c r="O130" s="136"/>
    </row>
    <row r="131" spans="10:15" x14ac:dyDescent="0.25">
      <c r="O131" s="136"/>
    </row>
    <row r="132" spans="10:15" x14ac:dyDescent="0.25">
      <c r="O132" s="136"/>
    </row>
    <row r="133" spans="10:15" x14ac:dyDescent="0.25">
      <c r="O133" s="136"/>
    </row>
    <row r="134" spans="10:15" x14ac:dyDescent="0.25">
      <c r="O134" s="136"/>
    </row>
    <row r="135" spans="10:15" x14ac:dyDescent="0.25">
      <c r="O135" s="136"/>
    </row>
    <row r="136" spans="10:15" x14ac:dyDescent="0.25">
      <c r="O136" s="136"/>
    </row>
    <row r="137" spans="10:15" x14ac:dyDescent="0.25">
      <c r="O137" s="136"/>
    </row>
    <row r="138" spans="10:15" x14ac:dyDescent="0.25">
      <c r="O138" s="136"/>
    </row>
    <row r="139" spans="10:15" x14ac:dyDescent="0.25">
      <c r="J139" s="136"/>
      <c r="K139" s="136"/>
      <c r="L139" s="136"/>
      <c r="M139" s="136"/>
      <c r="N139" s="136"/>
      <c r="O139" s="136"/>
    </row>
    <row r="140" spans="10:15" x14ac:dyDescent="0.25">
      <c r="J140" s="136"/>
      <c r="K140" s="136"/>
      <c r="L140" s="136"/>
      <c r="M140" s="136"/>
      <c r="N140" s="136"/>
      <c r="O140" s="136"/>
    </row>
    <row r="141" spans="10:15" x14ac:dyDescent="0.25">
      <c r="J141" s="136"/>
      <c r="K141" s="136"/>
      <c r="L141" s="136"/>
      <c r="M141" s="136"/>
      <c r="N141" s="136"/>
      <c r="O141" s="136"/>
    </row>
    <row r="142" spans="10:15" x14ac:dyDescent="0.25">
      <c r="J142" s="136"/>
      <c r="K142" s="136"/>
      <c r="L142" s="136"/>
      <c r="M142" s="136"/>
      <c r="N142" s="136"/>
      <c r="O142" s="136"/>
    </row>
    <row r="143" spans="10:15" x14ac:dyDescent="0.25">
      <c r="J143" s="136"/>
      <c r="K143" s="136"/>
      <c r="L143" s="136"/>
      <c r="M143" s="136"/>
      <c r="N143" s="136"/>
      <c r="O143" s="136"/>
    </row>
    <row r="144" spans="10:15" x14ac:dyDescent="0.25">
      <c r="J144" s="136"/>
      <c r="K144" s="136"/>
      <c r="L144" s="136"/>
      <c r="M144" s="136"/>
      <c r="N144" s="136"/>
      <c r="O144" s="136"/>
    </row>
    <row r="145" spans="10:15" x14ac:dyDescent="0.25">
      <c r="J145" s="136"/>
      <c r="K145" s="136"/>
      <c r="L145" s="136"/>
      <c r="M145" s="136"/>
      <c r="N145" s="136"/>
      <c r="O145" s="136"/>
    </row>
    <row r="146" spans="10:15" x14ac:dyDescent="0.25">
      <c r="J146" s="136"/>
      <c r="K146" s="136"/>
      <c r="L146" s="136"/>
      <c r="M146" s="136"/>
      <c r="N146" s="136"/>
      <c r="O146" s="136"/>
    </row>
    <row r="147" spans="10:15" x14ac:dyDescent="0.25">
      <c r="J147" s="136"/>
      <c r="K147" s="136"/>
      <c r="L147" s="136"/>
      <c r="M147" s="136"/>
      <c r="N147" s="136"/>
      <c r="O147" s="136"/>
    </row>
    <row r="148" spans="10:15" x14ac:dyDescent="0.25">
      <c r="J148" s="136"/>
      <c r="K148" s="136"/>
      <c r="L148" s="136"/>
      <c r="M148" s="136"/>
      <c r="N148" s="136"/>
      <c r="O148" s="136"/>
    </row>
    <row r="149" spans="10:15" x14ac:dyDescent="0.25">
      <c r="J149" s="136"/>
      <c r="K149" s="136"/>
      <c r="L149" s="136"/>
      <c r="M149" s="136"/>
      <c r="N149" s="136"/>
      <c r="O149" s="136"/>
    </row>
    <row r="150" spans="10:15" x14ac:dyDescent="0.25">
      <c r="J150" s="136"/>
      <c r="K150" s="136"/>
      <c r="L150" s="136"/>
      <c r="M150" s="136"/>
      <c r="N150" s="136"/>
      <c r="O150" s="136"/>
    </row>
    <row r="151" spans="10:15" x14ac:dyDescent="0.25">
      <c r="J151" s="136"/>
      <c r="K151" s="136"/>
      <c r="L151" s="136"/>
      <c r="M151" s="136"/>
      <c r="N151" s="136"/>
      <c r="O151" s="136"/>
    </row>
    <row r="152" spans="10:15" x14ac:dyDescent="0.25">
      <c r="J152" s="136"/>
      <c r="K152" s="136"/>
      <c r="L152" s="136"/>
      <c r="M152" s="136"/>
      <c r="N152" s="136"/>
      <c r="O152" s="136"/>
    </row>
    <row r="153" spans="10:15" x14ac:dyDescent="0.25">
      <c r="J153" s="136"/>
      <c r="K153" s="136"/>
      <c r="L153" s="136"/>
      <c r="M153" s="136"/>
      <c r="N153" s="136"/>
      <c r="O153" s="136"/>
    </row>
    <row r="154" spans="10:15" x14ac:dyDescent="0.25">
      <c r="J154" s="136"/>
      <c r="K154" s="136"/>
      <c r="L154" s="136"/>
      <c r="M154" s="136"/>
      <c r="N154" s="136"/>
      <c r="O154" s="136"/>
    </row>
    <row r="155" spans="10:15" x14ac:dyDescent="0.25">
      <c r="J155" s="136"/>
      <c r="K155" s="136"/>
      <c r="L155" s="136"/>
      <c r="M155" s="136"/>
      <c r="N155" s="136"/>
      <c r="O155" s="136"/>
    </row>
    <row r="156" spans="10:15" x14ac:dyDescent="0.25">
      <c r="J156" s="136"/>
      <c r="K156" s="136"/>
      <c r="L156" s="136"/>
      <c r="M156" s="136"/>
      <c r="N156" s="136"/>
      <c r="O156" s="136"/>
    </row>
    <row r="157" spans="10:15" x14ac:dyDescent="0.25">
      <c r="J157" s="136"/>
      <c r="K157" s="136"/>
      <c r="L157" s="136"/>
      <c r="M157" s="136"/>
      <c r="N157" s="136"/>
      <c r="O157" s="136"/>
    </row>
    <row r="158" spans="10:15" x14ac:dyDescent="0.25">
      <c r="J158" s="136"/>
      <c r="K158" s="136"/>
      <c r="L158" s="136"/>
      <c r="M158" s="136"/>
      <c r="N158" s="136"/>
      <c r="O158" s="136"/>
    </row>
    <row r="159" spans="10:15" x14ac:dyDescent="0.25">
      <c r="J159" s="136"/>
      <c r="K159" s="136"/>
      <c r="L159" s="136"/>
      <c r="M159" s="136"/>
      <c r="N159" s="136"/>
      <c r="O159" s="136"/>
    </row>
    <row r="160" spans="10:15" x14ac:dyDescent="0.25">
      <c r="J160" s="136"/>
      <c r="K160" s="136"/>
      <c r="L160" s="136"/>
      <c r="M160" s="136"/>
      <c r="N160" s="136"/>
      <c r="O160" s="136"/>
    </row>
  </sheetData>
  <sheetProtection password="CDF4" sheet="1" objects="1" scenarios="1"/>
  <mergeCells count="23">
    <mergeCell ref="B17:D17"/>
    <mergeCell ref="E17:G17"/>
    <mergeCell ref="E18:G18"/>
    <mergeCell ref="A1:I1"/>
    <mergeCell ref="B62:E62"/>
    <mergeCell ref="H62:J62"/>
    <mergeCell ref="B10:D10"/>
    <mergeCell ref="E10:G10"/>
    <mergeCell ref="E11:G11"/>
    <mergeCell ref="E12:G12"/>
    <mergeCell ref="E13:G13"/>
    <mergeCell ref="H24:H25"/>
    <mergeCell ref="I24:J24"/>
    <mergeCell ref="P70:T70"/>
    <mergeCell ref="E19:G19"/>
    <mergeCell ref="E20:G20"/>
    <mergeCell ref="B71:C71"/>
    <mergeCell ref="H71:I71"/>
    <mergeCell ref="E24:G24"/>
    <mergeCell ref="B70:F70"/>
    <mergeCell ref="H70:L70"/>
    <mergeCell ref="B24:D25"/>
    <mergeCell ref="H61:L61"/>
  </mergeCells>
  <phoneticPr fontId="4" type="noConversion"/>
  <pageMargins left="1.05" right="0.75" top="0.62" bottom="0.81" header="0.5" footer="0.5"/>
  <pageSetup paperSize="9" orientation="landscape" blackAndWhite="1" r:id="rId1"/>
  <headerFooter alignWithMargins="0"/>
  <ignoredErrors>
    <ignoredError sqref="A7 A9 A16 A23 A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324" r:id="rId4" name="Drop Down 36">
              <controlPr defaultSize="0" autoLine="0" autoPict="0">
                <anchor moveWithCells="1">
                  <from>
                    <xdr:col>3</xdr:col>
                    <xdr:colOff>0</xdr:colOff>
                    <xdr:row>5</xdr:row>
                    <xdr:rowOff>152400</xdr:rowOff>
                  </from>
                  <to>
                    <xdr:col>6</xdr:col>
                    <xdr:colOff>327660</xdr:colOff>
                    <xdr:row>6</xdr:row>
                    <xdr:rowOff>160020</xdr:rowOff>
                  </to>
                </anchor>
              </controlPr>
            </control>
          </mc:Choice>
        </mc:AlternateContent>
        <mc:AlternateContent xmlns:mc="http://schemas.openxmlformats.org/markup-compatibility/2006">
          <mc:Choice Requires="x14">
            <control shapeId="12325" r:id="rId5" name="Drop Down 37">
              <controlPr defaultSize="0" autoLine="0" autoPict="0">
                <anchor moveWithCells="1">
                  <from>
                    <xdr:col>1</xdr:col>
                    <xdr:colOff>0</xdr:colOff>
                    <xdr:row>10</xdr:row>
                    <xdr:rowOff>7620</xdr:rowOff>
                  </from>
                  <to>
                    <xdr:col>4</xdr:col>
                    <xdr:colOff>22860</xdr:colOff>
                    <xdr:row>11</xdr:row>
                    <xdr:rowOff>7620</xdr:rowOff>
                  </to>
                </anchor>
              </controlPr>
            </control>
          </mc:Choice>
        </mc:AlternateContent>
        <mc:AlternateContent xmlns:mc="http://schemas.openxmlformats.org/markup-compatibility/2006">
          <mc:Choice Requires="x14">
            <control shapeId="12326" r:id="rId6" name="Drop Down 38">
              <controlPr defaultSize="0" autoLine="0" autoPict="0">
                <anchor moveWithCells="1">
                  <from>
                    <xdr:col>1</xdr:col>
                    <xdr:colOff>0</xdr:colOff>
                    <xdr:row>11</xdr:row>
                    <xdr:rowOff>0</xdr:rowOff>
                  </from>
                  <to>
                    <xdr:col>4</xdr:col>
                    <xdr:colOff>7620</xdr:colOff>
                    <xdr:row>12</xdr:row>
                    <xdr:rowOff>0</xdr:rowOff>
                  </to>
                </anchor>
              </controlPr>
            </control>
          </mc:Choice>
        </mc:AlternateContent>
        <mc:AlternateContent xmlns:mc="http://schemas.openxmlformats.org/markup-compatibility/2006">
          <mc:Choice Requires="x14">
            <control shapeId="12327" r:id="rId7" name="Drop Down 39">
              <controlPr defaultSize="0" autoLine="0" autoPict="0">
                <anchor moveWithCells="1">
                  <from>
                    <xdr:col>0</xdr:col>
                    <xdr:colOff>335280</xdr:colOff>
                    <xdr:row>11</xdr:row>
                    <xdr:rowOff>190500</xdr:rowOff>
                  </from>
                  <to>
                    <xdr:col>4</xdr:col>
                    <xdr:colOff>7620</xdr:colOff>
                    <xdr:row>12</xdr:row>
                    <xdr:rowOff>190500</xdr:rowOff>
                  </to>
                </anchor>
              </controlPr>
            </control>
          </mc:Choice>
        </mc:AlternateContent>
        <mc:AlternateContent xmlns:mc="http://schemas.openxmlformats.org/markup-compatibility/2006">
          <mc:Choice Requires="x14">
            <control shapeId="12328" r:id="rId8" name="Drop Down 40">
              <controlPr defaultSize="0" autoLine="0" autoPict="0">
                <anchor moveWithCells="1">
                  <from>
                    <xdr:col>1</xdr:col>
                    <xdr:colOff>0</xdr:colOff>
                    <xdr:row>17</xdr:row>
                    <xdr:rowOff>7620</xdr:rowOff>
                  </from>
                  <to>
                    <xdr:col>4</xdr:col>
                    <xdr:colOff>22860</xdr:colOff>
                    <xdr:row>18</xdr:row>
                    <xdr:rowOff>22860</xdr:rowOff>
                  </to>
                </anchor>
              </controlPr>
            </control>
          </mc:Choice>
        </mc:AlternateContent>
        <mc:AlternateContent xmlns:mc="http://schemas.openxmlformats.org/markup-compatibility/2006">
          <mc:Choice Requires="x14">
            <control shapeId="12329" r:id="rId9" name="Drop Down 41">
              <controlPr defaultSize="0" autoLine="0" autoPict="0">
                <anchor moveWithCells="1">
                  <from>
                    <xdr:col>1</xdr:col>
                    <xdr:colOff>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2330" r:id="rId10" name="Drop Down 42">
              <controlPr defaultSize="0" autoLine="0" autoPict="0">
                <anchor moveWithCells="1">
                  <from>
                    <xdr:col>0</xdr:col>
                    <xdr:colOff>335280</xdr:colOff>
                    <xdr:row>19</xdr:row>
                    <xdr:rowOff>0</xdr:rowOff>
                  </from>
                  <to>
                    <xdr:col>4</xdr:col>
                    <xdr:colOff>7620</xdr:colOff>
                    <xdr:row>20</xdr:row>
                    <xdr:rowOff>7620</xdr:rowOff>
                  </to>
                </anchor>
              </controlPr>
            </control>
          </mc:Choice>
        </mc:AlternateContent>
        <mc:AlternateContent xmlns:mc="http://schemas.openxmlformats.org/markup-compatibility/2006">
          <mc:Choice Requires="x14">
            <control shapeId="12331" r:id="rId11" name="Drop Down 43">
              <controlPr defaultSize="0" autoLine="0" autoPict="0">
                <anchor moveWithCells="1">
                  <from>
                    <xdr:col>1</xdr:col>
                    <xdr:colOff>7620</xdr:colOff>
                    <xdr:row>24</xdr:row>
                    <xdr:rowOff>152400</xdr:rowOff>
                  </from>
                  <to>
                    <xdr:col>4</xdr:col>
                    <xdr:colOff>30480</xdr:colOff>
                    <xdr:row>26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Q143"/>
  <sheetViews>
    <sheetView zoomScale="75" workbookViewId="0"/>
  </sheetViews>
  <sheetFormatPr defaultColWidth="9.109375" defaultRowHeight="13.2" x14ac:dyDescent="0.25"/>
  <cols>
    <col min="1" max="1" width="3.88671875" style="327" customWidth="1"/>
    <col min="2" max="2" width="3.109375" style="298" customWidth="1"/>
    <col min="3" max="3" width="10.5546875" style="298" customWidth="1"/>
    <col min="4" max="4" width="10.88671875" style="298" customWidth="1"/>
    <col min="5" max="5" width="10.88671875" style="327" customWidth="1"/>
    <col min="6" max="6" width="18.109375" style="327" customWidth="1"/>
    <col min="7" max="7" width="13.44140625" style="327" customWidth="1"/>
    <col min="8" max="8" width="0.6640625" style="327" customWidth="1"/>
    <col min="9" max="9" width="12.33203125" style="327" customWidth="1"/>
    <col min="10" max="10" width="49.33203125" style="327" customWidth="1"/>
    <col min="11" max="11" width="10.88671875" style="327" customWidth="1"/>
    <col min="12" max="12" width="9.6640625" style="327" customWidth="1"/>
    <col min="13" max="13" width="11.88671875" style="327" customWidth="1"/>
    <col min="14" max="15" width="9.109375" style="327"/>
    <col min="16" max="16" width="9.109375" style="327" hidden="1" customWidth="1"/>
    <col min="17" max="17" width="17.44140625" style="327" customWidth="1"/>
    <col min="18" max="18" width="9.6640625" style="327" customWidth="1"/>
    <col min="19" max="19" width="9.109375" style="327"/>
    <col min="20" max="20" width="10.44140625" style="327" customWidth="1"/>
    <col min="21" max="21" width="10.33203125" style="327" bestFit="1" customWidth="1"/>
    <col min="22" max="22" width="9.33203125" style="327" bestFit="1" customWidth="1"/>
    <col min="23" max="26" width="9.109375" style="327"/>
    <col min="27" max="27" width="17.6640625" style="327" customWidth="1"/>
    <col min="28" max="16384" width="9.109375" style="327"/>
  </cols>
  <sheetData>
    <row r="1" spans="1:17" ht="45" customHeight="1" x14ac:dyDescent="0.25">
      <c r="A1" s="296" t="s">
        <v>492</v>
      </c>
      <c r="B1" s="326"/>
      <c r="C1" s="326"/>
      <c r="D1" s="326"/>
      <c r="E1" s="326"/>
      <c r="F1" s="326"/>
      <c r="G1" s="326"/>
      <c r="H1" s="326"/>
      <c r="I1" s="326"/>
      <c r="P1" s="328"/>
    </row>
    <row r="2" spans="1:17" ht="40.5" customHeight="1" x14ac:dyDescent="0.25">
      <c r="A2" s="329"/>
      <c r="B2" s="330"/>
      <c r="C2" s="330"/>
      <c r="D2" s="330"/>
      <c r="E2" s="330"/>
      <c r="F2" s="330"/>
      <c r="G2" s="330"/>
      <c r="H2" s="330"/>
      <c r="I2" s="330"/>
      <c r="P2" s="328"/>
      <c r="Q2" s="137"/>
    </row>
    <row r="3" spans="1:17" ht="21" customHeight="1" x14ac:dyDescent="0.25">
      <c r="A3" s="329"/>
      <c r="B3" s="158" t="s">
        <v>493</v>
      </c>
      <c r="C3" s="297"/>
      <c r="D3" s="297"/>
      <c r="E3" s="297"/>
      <c r="F3" s="297"/>
      <c r="G3" s="297"/>
      <c r="H3" s="297"/>
      <c r="I3" s="297"/>
      <c r="J3" s="297"/>
      <c r="K3" s="297"/>
      <c r="L3" s="297"/>
      <c r="M3" s="297"/>
      <c r="N3" s="297"/>
      <c r="O3" s="297"/>
      <c r="P3" s="297"/>
    </row>
    <row r="4" spans="1:17" ht="21" customHeight="1" x14ac:dyDescent="0.25">
      <c r="A4" s="329"/>
      <c r="B4" s="331"/>
      <c r="D4" s="327"/>
      <c r="P4" s="299" t="b">
        <v>0</v>
      </c>
    </row>
    <row r="5" spans="1:17" ht="21" customHeight="1" x14ac:dyDescent="0.25">
      <c r="A5" s="329"/>
      <c r="P5" s="332" t="b">
        <v>0</v>
      </c>
    </row>
    <row r="6" spans="1:17" ht="21" customHeight="1" x14ac:dyDescent="0.25">
      <c r="A6" s="329"/>
      <c r="B6" s="327"/>
      <c r="C6" s="327"/>
      <c r="D6" s="327"/>
      <c r="P6" s="332" t="b">
        <v>0</v>
      </c>
    </row>
    <row r="7" spans="1:17" ht="21" customHeight="1" x14ac:dyDescent="0.25">
      <c r="A7" s="329"/>
      <c r="B7" s="327"/>
      <c r="C7" s="327"/>
      <c r="D7" s="327"/>
      <c r="P7" s="332" t="b">
        <v>0</v>
      </c>
    </row>
    <row r="8" spans="1:17" ht="21" customHeight="1" x14ac:dyDescent="0.25">
      <c r="A8" s="329"/>
      <c r="B8" s="327"/>
      <c r="C8" s="327"/>
      <c r="D8" s="327"/>
      <c r="P8" s="332" t="b">
        <v>0</v>
      </c>
    </row>
    <row r="9" spans="1:17" ht="21" customHeight="1" x14ac:dyDescent="0.25">
      <c r="A9" s="329"/>
      <c r="B9" s="330"/>
      <c r="C9" s="330"/>
      <c r="D9" s="330"/>
      <c r="E9" s="330"/>
      <c r="F9" s="330"/>
      <c r="G9" s="330"/>
      <c r="H9" s="330"/>
      <c r="I9" s="330"/>
      <c r="P9" s="328"/>
    </row>
    <row r="10" spans="1:17" ht="21" customHeight="1" x14ac:dyDescent="0.25">
      <c r="A10" s="329"/>
      <c r="B10" s="330"/>
      <c r="C10" s="330"/>
      <c r="D10" s="330"/>
      <c r="E10" s="330"/>
      <c r="F10" s="330"/>
      <c r="G10" s="330"/>
      <c r="H10" s="330"/>
      <c r="I10" s="330"/>
      <c r="P10" s="328"/>
    </row>
    <row r="11" spans="1:17" ht="15" customHeight="1" x14ac:dyDescent="0.25">
      <c r="A11" s="329"/>
      <c r="B11" s="330"/>
      <c r="C11" s="333"/>
      <c r="D11" s="330"/>
      <c r="E11" s="330"/>
      <c r="F11" s="330"/>
      <c r="G11" s="330"/>
      <c r="H11" s="330"/>
      <c r="I11" s="330"/>
      <c r="P11" s="328"/>
    </row>
    <row r="12" spans="1:17" ht="21" customHeight="1" x14ac:dyDescent="0.25">
      <c r="B12" s="158" t="s">
        <v>494</v>
      </c>
    </row>
    <row r="13" spans="1:17" ht="21" customHeight="1" x14ac:dyDescent="0.25">
      <c r="B13" s="158"/>
    </row>
    <row r="14" spans="1:17" ht="21" customHeight="1" x14ac:dyDescent="0.25">
      <c r="B14" s="158"/>
    </row>
    <row r="15" spans="1:17" ht="21" customHeight="1" x14ac:dyDescent="0.25">
      <c r="A15" s="137"/>
      <c r="B15" s="300"/>
      <c r="C15" s="300"/>
      <c r="D15" s="300"/>
      <c r="E15" s="300"/>
      <c r="F15" s="300"/>
      <c r="G15" s="300"/>
      <c r="H15" s="300"/>
      <c r="I15" s="300"/>
      <c r="J15" s="300"/>
      <c r="K15" s="300"/>
      <c r="L15" s="300"/>
      <c r="M15" s="300"/>
      <c r="N15" s="300"/>
      <c r="O15" s="300"/>
      <c r="P15" s="300"/>
    </row>
    <row r="16" spans="1:17" ht="21" customHeight="1" x14ac:dyDescent="0.25">
      <c r="A16" s="137"/>
      <c r="B16" s="327" t="s">
        <v>495</v>
      </c>
      <c r="C16" s="327"/>
      <c r="D16" s="334"/>
    </row>
    <row r="17" spans="1:17" ht="21" customHeight="1" x14ac:dyDescent="0.25">
      <c r="A17" s="137"/>
      <c r="B17" s="327"/>
      <c r="C17" s="327"/>
      <c r="D17" s="334"/>
      <c r="P17" s="332" t="b">
        <v>0</v>
      </c>
    </row>
    <row r="18" spans="1:17" ht="21" customHeight="1" x14ac:dyDescent="0.25">
      <c r="A18" s="137"/>
      <c r="B18" s="115"/>
      <c r="C18" s="327"/>
      <c r="D18" s="334"/>
      <c r="P18" s="332" t="b">
        <v>0</v>
      </c>
    </row>
    <row r="19" spans="1:17" ht="21" customHeight="1" x14ac:dyDescent="0.25">
      <c r="A19" s="137"/>
      <c r="B19" s="115"/>
      <c r="C19" s="327"/>
      <c r="D19" s="334"/>
      <c r="Q19" s="115"/>
    </row>
    <row r="20" spans="1:17" ht="21" customHeight="1" x14ac:dyDescent="0.25">
      <c r="A20" s="137"/>
      <c r="B20" s="327" t="s">
        <v>496</v>
      </c>
      <c r="C20" s="297"/>
      <c r="D20" s="297"/>
      <c r="E20" s="297"/>
      <c r="F20" s="297"/>
      <c r="G20" s="297"/>
      <c r="H20" s="297"/>
      <c r="J20" s="297"/>
      <c r="K20" s="297"/>
      <c r="L20" s="297"/>
      <c r="M20" s="297"/>
      <c r="N20" s="297"/>
      <c r="O20" s="297"/>
      <c r="P20" s="297"/>
    </row>
    <row r="21" spans="1:17" ht="21" customHeight="1" x14ac:dyDescent="0.25">
      <c r="A21" s="137"/>
      <c r="B21" s="327"/>
      <c r="C21" s="297"/>
      <c r="D21" s="297"/>
      <c r="E21" s="297"/>
      <c r="F21" s="297"/>
      <c r="G21" s="297"/>
      <c r="H21" s="297"/>
      <c r="J21" s="297"/>
      <c r="K21" s="297"/>
      <c r="L21" s="297"/>
      <c r="M21" s="297"/>
      <c r="N21" s="297"/>
      <c r="O21" s="297"/>
      <c r="P21" s="297"/>
    </row>
    <row r="22" spans="1:17" ht="21" customHeight="1" x14ac:dyDescent="0.25">
      <c r="A22" s="137"/>
      <c r="B22" s="297"/>
      <c r="C22" s="465" t="s">
        <v>497</v>
      </c>
      <c r="D22" s="467"/>
      <c r="E22" s="297"/>
      <c r="F22" s="297"/>
      <c r="G22" s="297"/>
      <c r="H22" s="297"/>
      <c r="J22" s="297"/>
      <c r="K22" s="297"/>
      <c r="L22" s="297"/>
      <c r="M22" s="297"/>
      <c r="N22" s="297"/>
      <c r="O22" s="297"/>
      <c r="P22" s="297"/>
    </row>
    <row r="23" spans="1:17" ht="21" customHeight="1" x14ac:dyDescent="0.25">
      <c r="A23" s="137"/>
      <c r="B23" s="297"/>
      <c r="C23" s="301" t="s">
        <v>189</v>
      </c>
      <c r="D23" s="301" t="str">
        <f>"$ "&amp;Roads!D39</f>
        <v>$ (Jun '09)</v>
      </c>
      <c r="E23" s="297"/>
      <c r="F23" s="297"/>
      <c r="G23" s="297"/>
      <c r="H23" s="297"/>
      <c r="J23" s="297"/>
      <c r="K23" s="297"/>
      <c r="L23" s="297"/>
      <c r="M23" s="297"/>
      <c r="N23" s="297"/>
      <c r="O23" s="297"/>
      <c r="P23" s="297"/>
    </row>
    <row r="24" spans="1:17" ht="21" customHeight="1" x14ac:dyDescent="0.25">
      <c r="A24" s="137"/>
      <c r="B24" s="297"/>
      <c r="C24" s="335">
        <f>+IF(P6=FALSE, IF(AND(P17=TRUE,P18=TRUE,P4=TRUE,P5=TRUE,P8=TRUE),0.33,0),IF(AND(P17=TRUE,P18=TRUE,P4=TRUE,P5=TRUE,P6=TRUE,P7=TRUE,P8=TRUE),0.33,0))</f>
        <v>0</v>
      </c>
      <c r="D24" s="302">
        <f>+C24*Roads!C39</f>
        <v>0</v>
      </c>
      <c r="H24" s="297"/>
      <c r="K24" s="297"/>
      <c r="L24" s="297"/>
      <c r="M24" s="297"/>
      <c r="N24" s="297"/>
      <c r="O24" s="297"/>
      <c r="P24" s="297"/>
      <c r="Q24" s="328"/>
    </row>
    <row r="25" spans="1:17" ht="21" customHeight="1" x14ac:dyDescent="0.25">
      <c r="A25" s="137"/>
      <c r="B25" s="297"/>
      <c r="C25" s="327"/>
      <c r="D25" s="327"/>
      <c r="H25" s="297"/>
      <c r="K25" s="297"/>
      <c r="L25" s="297"/>
      <c r="M25" s="297"/>
      <c r="N25" s="297"/>
      <c r="O25" s="297"/>
      <c r="P25" s="297"/>
      <c r="Q25" s="328"/>
    </row>
    <row r="26" spans="1:17" ht="21" customHeight="1" x14ac:dyDescent="0.25">
      <c r="A26" s="137"/>
      <c r="B26" s="297"/>
      <c r="C26" s="303"/>
      <c r="D26" s="304"/>
      <c r="E26" s="305"/>
      <c r="F26" s="297"/>
      <c r="G26" s="297"/>
      <c r="H26" s="297"/>
      <c r="I26" s="297"/>
      <c r="J26" s="297"/>
      <c r="K26" s="297"/>
      <c r="L26" s="297"/>
      <c r="M26" s="297"/>
      <c r="N26" s="297"/>
      <c r="O26" s="297"/>
      <c r="P26" s="297"/>
      <c r="Q26" s="328"/>
    </row>
    <row r="27" spans="1:17" ht="21" customHeight="1" x14ac:dyDescent="0.25">
      <c r="A27" s="137"/>
      <c r="B27" s="158" t="s">
        <v>498</v>
      </c>
      <c r="C27" s="327"/>
      <c r="D27" s="327"/>
      <c r="Q27" s="328"/>
    </row>
    <row r="28" spans="1:17" ht="21" customHeight="1" x14ac:dyDescent="0.25">
      <c r="A28" s="137"/>
      <c r="B28" s="300"/>
      <c r="C28" s="300"/>
      <c r="D28" s="300"/>
      <c r="E28" s="300"/>
      <c r="F28" s="300"/>
      <c r="G28" s="300"/>
      <c r="H28" s="300"/>
      <c r="I28" s="300"/>
      <c r="J28" s="300"/>
      <c r="K28" s="300"/>
      <c r="L28" s="300"/>
      <c r="M28" s="300"/>
      <c r="N28" s="300"/>
      <c r="O28" s="582"/>
      <c r="P28" s="582"/>
      <c r="Q28" s="328"/>
    </row>
    <row r="29" spans="1:17" ht="21" customHeight="1" x14ac:dyDescent="0.25">
      <c r="A29" s="137"/>
      <c r="B29" s="300"/>
      <c r="C29" s="300"/>
      <c r="D29" s="300"/>
      <c r="E29" s="300"/>
      <c r="F29" s="300"/>
      <c r="G29" s="300"/>
      <c r="H29" s="300"/>
      <c r="I29" s="300"/>
      <c r="J29" s="300"/>
      <c r="K29" s="300"/>
      <c r="L29" s="300"/>
      <c r="M29" s="300"/>
      <c r="N29" s="300"/>
      <c r="O29" s="300"/>
      <c r="P29" s="300"/>
      <c r="Q29" s="328"/>
    </row>
    <row r="30" spans="1:17" ht="21" customHeight="1" x14ac:dyDescent="0.25">
      <c r="A30" s="137"/>
      <c r="B30" s="300"/>
      <c r="C30" s="300"/>
      <c r="D30" s="300"/>
      <c r="E30" s="300"/>
      <c r="F30" s="300"/>
      <c r="G30" s="300"/>
      <c r="H30" s="300"/>
      <c r="I30" s="300"/>
      <c r="J30" s="300"/>
      <c r="K30" s="300"/>
      <c r="L30" s="300"/>
      <c r="M30" s="300"/>
      <c r="N30" s="300"/>
      <c r="O30" s="300"/>
      <c r="P30" s="300"/>
      <c r="Q30" s="328"/>
    </row>
    <row r="31" spans="1:17" ht="20.25" customHeight="1" x14ac:dyDescent="0.25">
      <c r="A31" s="137"/>
      <c r="B31" s="327"/>
      <c r="C31" s="327"/>
      <c r="D31" s="327"/>
      <c r="Q31" s="328"/>
    </row>
    <row r="32" spans="1:17" ht="19.5" customHeight="1" x14ac:dyDescent="0.25">
      <c r="A32" s="336"/>
      <c r="B32" s="327" t="s">
        <v>499</v>
      </c>
      <c r="C32" s="327"/>
      <c r="D32" s="334"/>
    </row>
    <row r="33" spans="1:16" ht="19.5" customHeight="1" x14ac:dyDescent="0.25">
      <c r="A33" s="336"/>
      <c r="B33" s="327"/>
      <c r="C33" s="327"/>
      <c r="D33" s="334"/>
      <c r="P33" s="332" t="b">
        <v>0</v>
      </c>
    </row>
    <row r="34" spans="1:16" ht="21" customHeight="1" x14ac:dyDescent="0.25">
      <c r="A34" s="336"/>
      <c r="B34" s="327"/>
      <c r="C34" s="327"/>
      <c r="D34" s="327"/>
      <c r="P34" s="332" t="b">
        <v>0</v>
      </c>
    </row>
    <row r="35" spans="1:16" ht="21" customHeight="1" x14ac:dyDescent="0.25">
      <c r="A35" s="336"/>
      <c r="B35" s="327"/>
      <c r="C35" s="327"/>
      <c r="D35" s="327"/>
      <c r="P35" s="332" t="b">
        <v>0</v>
      </c>
    </row>
    <row r="36" spans="1:16" ht="21" customHeight="1" x14ac:dyDescent="0.25">
      <c r="A36" s="336"/>
      <c r="B36" s="327"/>
      <c r="C36" s="327"/>
      <c r="D36" s="327"/>
    </row>
    <row r="37" spans="1:16" ht="21" customHeight="1" x14ac:dyDescent="0.25">
      <c r="A37" s="336"/>
      <c r="B37" s="327" t="s">
        <v>500</v>
      </c>
      <c r="C37" s="327"/>
      <c r="D37" s="327"/>
    </row>
    <row r="38" spans="1:16" ht="21" customHeight="1" x14ac:dyDescent="0.25">
      <c r="A38" s="336"/>
      <c r="B38" s="327"/>
      <c r="C38" s="327"/>
      <c r="D38" s="306"/>
      <c r="I38" s="306"/>
    </row>
    <row r="39" spans="1:16" ht="41.25" customHeight="1" x14ac:dyDescent="0.25">
      <c r="B39" s="327"/>
      <c r="C39" s="579" t="s">
        <v>501</v>
      </c>
      <c r="D39" s="580"/>
      <c r="E39" s="580"/>
      <c r="F39" s="581"/>
      <c r="G39" s="307" t="str">
        <f>"Gross Contribution $ "&amp;Roads!D39</f>
        <v>Gross Contribution $ (Jun '09)</v>
      </c>
      <c r="I39" s="583" t="s">
        <v>502</v>
      </c>
      <c r="J39" s="584"/>
      <c r="K39" s="585"/>
      <c r="L39" s="307" t="s">
        <v>503</v>
      </c>
      <c r="M39" s="308" t="str">
        <f>"Waiver         $ "&amp;Roads!D39</f>
        <v>Waiver         $ (Jun '09)</v>
      </c>
      <c r="N39" s="337"/>
    </row>
    <row r="40" spans="1:16" ht="21" customHeight="1" x14ac:dyDescent="0.25">
      <c r="C40" s="309">
        <f>IF(Roads!$S$7=3,"",INDEX(Roads!$N$90:$N$159,Roads!S11))</f>
        <v>0</v>
      </c>
      <c r="D40" s="338"/>
      <c r="E40" s="338"/>
      <c r="F40" s="339"/>
      <c r="G40" s="340">
        <f>+IF(Roads!$S$7=3,0,IF(Roads!I11="",0,(Roads!I11-Roads!$I$23*Roads!I11/Roads!$I$15)*(Roads!$K$28+Roads!$K$29+Roads!$K$30+Roads!$K$31)))</f>
        <v>0</v>
      </c>
      <c r="L40" s="341">
        <f>+IF($P$6=FALSE,IF(AND($P$33=TRUE,$P$34=TRUE,$P$35=TRUE,$P$4=TRUE,$P$5=TRUE,$P$8=TRUE),INDEX($G$87:$G$121,P40),0),IF(AND($P$33=TRUE,$P$34=TRUE,$P$35=TRUE,$P$4=TRUE,$P$5=TRUE,$P$6=TRUE,$P$7=TRUE,$P$8=TRUE),INDEX($G$87:$G$121,P40),0))</f>
        <v>0</v>
      </c>
      <c r="M40" s="342">
        <f>+L40*G40</f>
        <v>0</v>
      </c>
      <c r="P40" s="332">
        <v>1</v>
      </c>
    </row>
    <row r="41" spans="1:16" ht="21" customHeight="1" x14ac:dyDescent="0.25">
      <c r="C41" s="309">
        <f>IF(Roads!$S$7=3,"",INDEX(Roads!$N$90:$N$159,Roads!S12))</f>
        <v>0</v>
      </c>
      <c r="D41" s="338"/>
      <c r="E41" s="338"/>
      <c r="F41" s="339"/>
      <c r="G41" s="340">
        <f>+IF(Roads!$S$7=3,0,IF(Roads!I12="",0,(Roads!I12-Roads!$I$23*Roads!I12/Roads!$I$15)*(Roads!$K$28+Roads!$K$29+Roads!$K$30+Roads!$K$31)))</f>
        <v>0</v>
      </c>
      <c r="L41" s="341">
        <f>+IF($P$6=FALSE,IF(AND($P$33=TRUE,$P$34=TRUE,$P$35=TRUE,$P$4=TRUE,$P$5=TRUE,$P$8=TRUE),INDEX($G$87:$G$121,P41),0),IF(AND($P$33=TRUE,$P$34=TRUE,$P$35=TRUE,$P$4=TRUE,$P$5=TRUE,$P$6=TRUE,$P$7=TRUE,$P$8=TRUE),INDEX($G$87:$G$121,P41),0))</f>
        <v>0</v>
      </c>
      <c r="M41" s="343">
        <f>+L41*G41</f>
        <v>0</v>
      </c>
      <c r="P41" s="332">
        <v>1</v>
      </c>
    </row>
    <row r="42" spans="1:16" ht="21" customHeight="1" x14ac:dyDescent="0.25">
      <c r="C42" s="309">
        <f>IF(Roads!$S$7=3,"",INDEX(Roads!$N$90:$N$159,Roads!S13))</f>
        <v>0</v>
      </c>
      <c r="D42" s="338"/>
      <c r="E42" s="338"/>
      <c r="F42" s="339"/>
      <c r="G42" s="340">
        <f>+IF(Roads!$S$7=3,0,IF(Roads!I13="",0,(Roads!I13-Roads!$I$23*Roads!I13/Roads!$I$15)*(Roads!$K$28+Roads!$K$29+Roads!$K$30+Roads!$K$31)))</f>
        <v>0</v>
      </c>
      <c r="L42" s="341">
        <f>+IF($P$6=FALSE,IF(AND($P$33=TRUE,$P$34=TRUE,$P$35=TRUE,$P$4=TRUE,$P$5=TRUE,$P$8=TRUE),INDEX($G$87:$G$121,P42),0),IF(AND($P$33=TRUE,$P$34=TRUE,$P$35=TRUE,$P$4=TRUE,$P$5=TRUE,$P$6=TRUE,$P$7=TRUE,$P$8=TRUE),INDEX($G$87:$G$121,P42),0))</f>
        <v>0</v>
      </c>
      <c r="M42" s="344">
        <f>+L42*G42</f>
        <v>0</v>
      </c>
      <c r="P42" s="332">
        <v>1</v>
      </c>
    </row>
    <row r="43" spans="1:16" ht="21" customHeight="1" x14ac:dyDescent="0.25">
      <c r="D43" s="327"/>
      <c r="L43" s="143" t="s">
        <v>504</v>
      </c>
      <c r="M43" s="310">
        <f>SUM(M40:M42)</f>
        <v>0</v>
      </c>
    </row>
    <row r="44" spans="1:16" ht="13.5" customHeight="1" x14ac:dyDescent="0.25">
      <c r="D44" s="327"/>
    </row>
    <row r="45" spans="1:16" s="346" customFormat="1" ht="14.25" customHeight="1" x14ac:dyDescent="0.25">
      <c r="A45" s="327"/>
      <c r="B45" s="298"/>
      <c r="C45" s="298"/>
      <c r="D45" s="327"/>
      <c r="E45" s="327"/>
      <c r="F45" s="327"/>
      <c r="G45" s="327"/>
      <c r="H45" s="327"/>
      <c r="I45" s="345" t="s">
        <v>442</v>
      </c>
    </row>
    <row r="46" spans="1:16" ht="14.25" customHeight="1" x14ac:dyDescent="0.25">
      <c r="A46" s="346"/>
      <c r="D46" s="327"/>
      <c r="I46" s="298" t="s">
        <v>505</v>
      </c>
    </row>
    <row r="47" spans="1:16" ht="14.25" customHeight="1" x14ac:dyDescent="0.25">
      <c r="D47" s="327"/>
      <c r="I47" s="298" t="s">
        <v>506</v>
      </c>
    </row>
    <row r="48" spans="1:16" ht="14.25" customHeight="1" x14ac:dyDescent="0.25">
      <c r="D48" s="327"/>
      <c r="I48" s="298" t="s">
        <v>507</v>
      </c>
    </row>
    <row r="49" spans="2:16" ht="14.25" customHeight="1" x14ac:dyDescent="0.25">
      <c r="I49" s="298" t="s">
        <v>508</v>
      </c>
    </row>
    <row r="50" spans="2:16" ht="14.25" customHeight="1" x14ac:dyDescent="0.25">
      <c r="B50" s="327"/>
      <c r="C50" s="327"/>
      <c r="D50" s="297"/>
      <c r="I50" s="298"/>
    </row>
    <row r="51" spans="2:16" ht="14.25" customHeight="1" x14ac:dyDescent="0.25">
      <c r="B51" s="158" t="s">
        <v>509</v>
      </c>
      <c r="I51" s="298"/>
    </row>
    <row r="52" spans="2:16" ht="21" customHeight="1" x14ac:dyDescent="0.25">
      <c r="B52" s="158"/>
      <c r="I52" s="298"/>
    </row>
    <row r="53" spans="2:16" ht="21" customHeight="1" x14ac:dyDescent="0.25">
      <c r="B53" s="158"/>
      <c r="I53" s="298"/>
    </row>
    <row r="54" spans="2:16" ht="21" customHeight="1" x14ac:dyDescent="0.25">
      <c r="B54" s="300"/>
      <c r="C54" s="300"/>
      <c r="D54" s="300"/>
      <c r="E54" s="300"/>
      <c r="I54" s="298"/>
    </row>
    <row r="55" spans="2:16" ht="21" customHeight="1" x14ac:dyDescent="0.25">
      <c r="B55" s="327" t="s">
        <v>510</v>
      </c>
      <c r="C55" s="327"/>
      <c r="D55" s="334"/>
      <c r="I55" s="298"/>
    </row>
    <row r="56" spans="2:16" ht="21" customHeight="1" x14ac:dyDescent="0.25">
      <c r="B56" s="115"/>
      <c r="C56" s="327"/>
      <c r="D56" s="334"/>
      <c r="I56" s="298"/>
      <c r="P56" s="332" t="b">
        <v>0</v>
      </c>
    </row>
    <row r="57" spans="2:16" ht="21" customHeight="1" x14ac:dyDescent="0.25">
      <c r="B57" s="115"/>
      <c r="C57" s="327"/>
      <c r="D57" s="334"/>
      <c r="I57" s="298"/>
      <c r="P57" s="332" t="b">
        <v>0</v>
      </c>
    </row>
    <row r="58" spans="2:16" ht="21" customHeight="1" x14ac:dyDescent="0.25">
      <c r="B58" s="115"/>
      <c r="C58" s="327"/>
      <c r="D58" s="334"/>
      <c r="I58" s="298"/>
      <c r="P58" s="332" t="b">
        <v>0</v>
      </c>
    </row>
    <row r="59" spans="2:16" ht="21" customHeight="1" x14ac:dyDescent="0.25">
      <c r="B59" s="327" t="s">
        <v>511</v>
      </c>
      <c r="C59" s="297"/>
      <c r="D59" s="297"/>
      <c r="E59" s="297"/>
      <c r="I59" s="298"/>
    </row>
    <row r="60" spans="2:16" ht="21" customHeight="1" x14ac:dyDescent="0.25">
      <c r="B60" s="327"/>
      <c r="C60" s="297"/>
      <c r="D60" s="297"/>
      <c r="E60" s="297"/>
      <c r="I60" s="298"/>
    </row>
    <row r="61" spans="2:16" ht="21" customHeight="1" x14ac:dyDescent="0.25">
      <c r="B61" s="297"/>
      <c r="C61" s="465" t="s">
        <v>512</v>
      </c>
      <c r="D61" s="467"/>
      <c r="E61" s="297"/>
      <c r="I61" s="298"/>
    </row>
    <row r="62" spans="2:16" ht="21" customHeight="1" x14ac:dyDescent="0.25">
      <c r="B62" s="297"/>
      <c r="C62" s="301" t="s">
        <v>189</v>
      </c>
      <c r="D62" s="301" t="str">
        <f>"$ "&amp;Roads!D75</f>
        <v xml:space="preserve">$ </v>
      </c>
      <c r="E62" s="297"/>
      <c r="I62" s="298"/>
    </row>
    <row r="63" spans="2:16" ht="21" customHeight="1" x14ac:dyDescent="0.25">
      <c r="B63" s="297"/>
      <c r="C63" s="335">
        <f>+IF(P6=FALSE,IF(AND(P4=TRUE,P5=TRUE,P8=TRUE,P56=TRUE,P57=TRUE, P58=TRUE),0.2,0),IF(AND(P4=TRUE,P5=TRUE,P6=TRUE,P7=TRUE,P8=TRUE,P56=TRUE,P57=TRUE, P58=TRUE),0.2,0))</f>
        <v>0</v>
      </c>
      <c r="D63" s="302">
        <f>+C63*Roads!C39</f>
        <v>0</v>
      </c>
      <c r="I63" s="298"/>
    </row>
    <row r="64" spans="2:16" ht="21" customHeight="1" x14ac:dyDescent="0.25">
      <c r="B64" s="327"/>
      <c r="C64" s="327"/>
      <c r="D64" s="297"/>
      <c r="I64" s="298"/>
    </row>
    <row r="65" spans="2:9" ht="21" customHeight="1" x14ac:dyDescent="0.25">
      <c r="B65" s="327"/>
      <c r="C65" s="327"/>
      <c r="D65" s="297"/>
      <c r="I65" s="298"/>
    </row>
    <row r="66" spans="2:9" ht="21" customHeight="1" x14ac:dyDescent="0.25">
      <c r="B66" s="158" t="s">
        <v>513</v>
      </c>
      <c r="C66" s="327"/>
    </row>
    <row r="67" spans="2:9" ht="13.5" customHeight="1" x14ac:dyDescent="0.25">
      <c r="C67" s="158"/>
    </row>
    <row r="68" spans="2:9" x14ac:dyDescent="0.25">
      <c r="C68" s="347">
        <f>IF(Roads!$C$39=0,0,$C$72/Roads!$C$39*Roads!C35)</f>
        <v>0</v>
      </c>
      <c r="D68" s="337" t="str">
        <f>+Roads!D35</f>
        <v>TCC Works</v>
      </c>
    </row>
    <row r="69" spans="2:9" x14ac:dyDescent="0.25">
      <c r="C69" s="347">
        <f>IF(Roads!$C$39=0,0,$C$72/Roads!$C$39*Roads!C36)</f>
        <v>0</v>
      </c>
      <c r="D69" s="337" t="str">
        <f>+Roads!D36</f>
        <v>TCC Land</v>
      </c>
    </row>
    <row r="70" spans="2:9" x14ac:dyDescent="0.25">
      <c r="C70" s="347">
        <f>IF(Roads!$C$39=0,0,$C$72/Roads!$C$39*Roads!C37)</f>
        <v>0</v>
      </c>
      <c r="D70" s="337" t="str">
        <f>+Roads!D37</f>
        <v>SCR Works</v>
      </c>
    </row>
    <row r="71" spans="2:9" ht="15" x14ac:dyDescent="0.4">
      <c r="C71" s="311">
        <f>IF(Roads!$C$39=0,0,$C$72/Roads!$C$39*Roads!C38)</f>
        <v>0</v>
      </c>
      <c r="D71" s="337" t="str">
        <f>+Roads!D38</f>
        <v>SCR Land</v>
      </c>
    </row>
    <row r="72" spans="2:9" x14ac:dyDescent="0.25">
      <c r="C72" s="312">
        <f>+IF(AND(P18=TRUE,P56=TRUE),MAX(D63,M43),MAX(D63,M43,D24))</f>
        <v>0</v>
      </c>
      <c r="D72" s="337" t="str">
        <f>+D23</f>
        <v>$ (Jun '09)</v>
      </c>
    </row>
    <row r="74" spans="2:9" x14ac:dyDescent="0.25">
      <c r="C74" s="313" t="str">
        <f>+IF(AND(P18=TRUE,P56=TRUE),"Waiver 1 and Waiver 3 can not apply for same application - Waiver 3 has been used","")</f>
        <v/>
      </c>
    </row>
    <row r="82" spans="2:12" x14ac:dyDescent="0.25">
      <c r="C82" s="158" t="s">
        <v>42</v>
      </c>
      <c r="D82" s="327"/>
    </row>
    <row r="83" spans="2:12" x14ac:dyDescent="0.25">
      <c r="C83" s="327"/>
    </row>
    <row r="84" spans="2:12" x14ac:dyDescent="0.25">
      <c r="C84" s="137" t="s">
        <v>514</v>
      </c>
    </row>
    <row r="85" spans="2:12" x14ac:dyDescent="0.25">
      <c r="C85" s="137"/>
    </row>
    <row r="86" spans="2:12" ht="27.75" customHeight="1" x14ac:dyDescent="0.25">
      <c r="B86" s="327"/>
      <c r="C86" s="474" t="s">
        <v>501</v>
      </c>
      <c r="D86" s="475"/>
      <c r="E86" s="475"/>
      <c r="F86" s="476"/>
      <c r="G86" s="294" t="s">
        <v>515</v>
      </c>
      <c r="H86" s="474" t="s">
        <v>516</v>
      </c>
      <c r="I86" s="475"/>
      <c r="J86" s="475"/>
      <c r="K86" s="475"/>
      <c r="L86" s="476"/>
    </row>
    <row r="87" spans="2:12" ht="27.75" customHeight="1" x14ac:dyDescent="0.25">
      <c r="B87" s="327"/>
      <c r="C87" s="314"/>
      <c r="D87" s="338"/>
      <c r="E87" s="338"/>
      <c r="F87" s="339"/>
      <c r="G87" s="315"/>
      <c r="H87" s="576"/>
      <c r="I87" s="577"/>
      <c r="J87" s="577"/>
      <c r="K87" s="577"/>
      <c r="L87" s="578"/>
    </row>
    <row r="88" spans="2:12" ht="27.75" customHeight="1" x14ac:dyDescent="0.25">
      <c r="B88" s="327"/>
      <c r="C88" s="314" t="s">
        <v>517</v>
      </c>
      <c r="D88" s="338"/>
      <c r="E88" s="338"/>
      <c r="F88" s="339"/>
      <c r="G88" s="315">
        <v>0.5</v>
      </c>
      <c r="H88" s="576" t="s">
        <v>518</v>
      </c>
      <c r="I88" s="577"/>
      <c r="J88" s="577"/>
      <c r="K88" s="577"/>
      <c r="L88" s="578"/>
    </row>
    <row r="89" spans="2:12" ht="27.75" customHeight="1" x14ac:dyDescent="0.25">
      <c r="B89" s="327"/>
      <c r="C89" s="314" t="s">
        <v>375</v>
      </c>
      <c r="D89" s="338"/>
      <c r="E89" s="338"/>
      <c r="F89" s="339"/>
      <c r="G89" s="315">
        <v>0.5</v>
      </c>
      <c r="H89" s="576" t="s">
        <v>519</v>
      </c>
      <c r="I89" s="577"/>
      <c r="J89" s="577"/>
      <c r="K89" s="577"/>
      <c r="L89" s="578"/>
    </row>
    <row r="90" spans="2:12" ht="27.75" customHeight="1" x14ac:dyDescent="0.25">
      <c r="B90" s="327"/>
      <c r="C90" s="314" t="s">
        <v>520</v>
      </c>
      <c r="D90" s="338"/>
      <c r="E90" s="338"/>
      <c r="F90" s="339"/>
      <c r="G90" s="315">
        <v>0.75</v>
      </c>
      <c r="H90" s="576" t="s">
        <v>521</v>
      </c>
      <c r="I90" s="577"/>
      <c r="J90" s="577"/>
      <c r="K90" s="577"/>
      <c r="L90" s="578"/>
    </row>
    <row r="91" spans="2:12" ht="27.75" customHeight="1" x14ac:dyDescent="0.25">
      <c r="B91" s="327"/>
      <c r="C91" s="314" t="s">
        <v>522</v>
      </c>
      <c r="D91" s="338"/>
      <c r="E91" s="338"/>
      <c r="F91" s="339"/>
      <c r="G91" s="315">
        <v>0.75</v>
      </c>
      <c r="H91" s="576" t="s">
        <v>523</v>
      </c>
      <c r="I91" s="577"/>
      <c r="J91" s="577"/>
      <c r="K91" s="577"/>
      <c r="L91" s="578"/>
    </row>
    <row r="92" spans="2:12" ht="27.75" customHeight="1" x14ac:dyDescent="0.25">
      <c r="B92" s="327"/>
      <c r="C92" s="314" t="s">
        <v>524</v>
      </c>
      <c r="D92" s="338"/>
      <c r="E92" s="338"/>
      <c r="F92" s="339"/>
      <c r="G92" s="315">
        <v>0.5</v>
      </c>
      <c r="H92" s="576" t="s">
        <v>525</v>
      </c>
      <c r="I92" s="577"/>
      <c r="J92" s="577"/>
      <c r="K92" s="577"/>
      <c r="L92" s="578"/>
    </row>
    <row r="93" spans="2:12" ht="27.75" customHeight="1" x14ac:dyDescent="0.25">
      <c r="B93" s="327"/>
      <c r="C93" s="314" t="s">
        <v>526</v>
      </c>
      <c r="D93" s="338"/>
      <c r="E93" s="338"/>
      <c r="F93" s="339"/>
      <c r="G93" s="315">
        <v>0.25</v>
      </c>
      <c r="H93" s="576" t="s">
        <v>527</v>
      </c>
      <c r="I93" s="577"/>
      <c r="J93" s="577"/>
      <c r="K93" s="577"/>
      <c r="L93" s="578"/>
    </row>
    <row r="94" spans="2:12" ht="27.75" customHeight="1" x14ac:dyDescent="0.25">
      <c r="B94" s="327"/>
      <c r="C94" s="314" t="s">
        <v>528</v>
      </c>
      <c r="D94" s="338"/>
      <c r="E94" s="338"/>
      <c r="F94" s="339"/>
      <c r="G94" s="315">
        <v>0.5</v>
      </c>
      <c r="H94" s="576" t="s">
        <v>529</v>
      </c>
      <c r="I94" s="577"/>
      <c r="J94" s="577"/>
      <c r="K94" s="577"/>
      <c r="L94" s="578"/>
    </row>
    <row r="95" spans="2:12" ht="27.75" customHeight="1" x14ac:dyDescent="0.25">
      <c r="B95" s="327"/>
      <c r="C95" s="314" t="s">
        <v>530</v>
      </c>
      <c r="D95" s="338"/>
      <c r="E95" s="338"/>
      <c r="F95" s="339"/>
      <c r="G95" s="315">
        <v>0.75</v>
      </c>
      <c r="H95" s="576" t="s">
        <v>531</v>
      </c>
      <c r="I95" s="577"/>
      <c r="J95" s="577"/>
      <c r="K95" s="577"/>
      <c r="L95" s="578"/>
    </row>
    <row r="96" spans="2:12" ht="27.75" customHeight="1" x14ac:dyDescent="0.25">
      <c r="B96" s="327"/>
      <c r="C96" s="314" t="s">
        <v>532</v>
      </c>
      <c r="D96" s="338"/>
      <c r="E96" s="338"/>
      <c r="F96" s="339"/>
      <c r="G96" s="315">
        <v>0.25</v>
      </c>
      <c r="H96" s="576" t="s">
        <v>533</v>
      </c>
      <c r="I96" s="577"/>
      <c r="J96" s="577"/>
      <c r="K96" s="577"/>
      <c r="L96" s="578"/>
    </row>
    <row r="97" spans="2:12" ht="27.75" customHeight="1" x14ac:dyDescent="0.25">
      <c r="B97" s="327"/>
      <c r="C97" s="314" t="s">
        <v>534</v>
      </c>
      <c r="D97" s="338"/>
      <c r="E97" s="338"/>
      <c r="F97" s="339"/>
      <c r="G97" s="315">
        <v>0.25</v>
      </c>
      <c r="H97" s="576" t="s">
        <v>535</v>
      </c>
      <c r="I97" s="577"/>
      <c r="J97" s="577"/>
      <c r="K97" s="577"/>
      <c r="L97" s="578"/>
    </row>
    <row r="98" spans="2:12" ht="27.75" customHeight="1" x14ac:dyDescent="0.25">
      <c r="B98" s="327"/>
      <c r="C98" s="314" t="s">
        <v>536</v>
      </c>
      <c r="D98" s="338"/>
      <c r="E98" s="338"/>
      <c r="F98" s="339"/>
      <c r="G98" s="315">
        <v>0.5</v>
      </c>
      <c r="H98" s="576" t="s">
        <v>537</v>
      </c>
      <c r="I98" s="577"/>
      <c r="J98" s="577"/>
      <c r="K98" s="577"/>
      <c r="L98" s="578"/>
    </row>
    <row r="99" spans="2:12" ht="27.75" customHeight="1" x14ac:dyDescent="0.25">
      <c r="B99" s="327"/>
      <c r="C99" s="314" t="s">
        <v>538</v>
      </c>
      <c r="D99" s="338"/>
      <c r="E99" s="338"/>
      <c r="F99" s="339"/>
      <c r="G99" s="315">
        <v>0.25</v>
      </c>
      <c r="H99" s="576" t="s">
        <v>527</v>
      </c>
      <c r="I99" s="577"/>
      <c r="J99" s="577"/>
      <c r="K99" s="577"/>
      <c r="L99" s="578"/>
    </row>
    <row r="100" spans="2:12" ht="27.75" customHeight="1" x14ac:dyDescent="0.25">
      <c r="B100" s="327"/>
      <c r="C100" s="314" t="s">
        <v>539</v>
      </c>
      <c r="D100" s="338"/>
      <c r="E100" s="338"/>
      <c r="F100" s="339"/>
      <c r="G100" s="315">
        <v>0.5</v>
      </c>
      <c r="H100" s="576" t="s">
        <v>537</v>
      </c>
      <c r="I100" s="577"/>
      <c r="J100" s="577"/>
      <c r="K100" s="577"/>
      <c r="L100" s="578"/>
    </row>
    <row r="101" spans="2:12" ht="27.75" customHeight="1" x14ac:dyDescent="0.25">
      <c r="B101" s="327"/>
      <c r="C101" s="314" t="s">
        <v>540</v>
      </c>
      <c r="D101" s="338"/>
      <c r="E101" s="338"/>
      <c r="F101" s="339"/>
      <c r="G101" s="315">
        <v>0.5</v>
      </c>
      <c r="H101" s="576" t="s">
        <v>537</v>
      </c>
      <c r="I101" s="577"/>
      <c r="J101" s="577"/>
      <c r="K101" s="577"/>
      <c r="L101" s="578"/>
    </row>
    <row r="102" spans="2:12" ht="27.75" customHeight="1" x14ac:dyDescent="0.25">
      <c r="B102" s="327"/>
      <c r="C102" s="314" t="s">
        <v>541</v>
      </c>
      <c r="D102" s="338"/>
      <c r="E102" s="338"/>
      <c r="F102" s="339"/>
      <c r="G102" s="315">
        <v>0.25</v>
      </c>
      <c r="H102" s="576" t="s">
        <v>542</v>
      </c>
      <c r="I102" s="577"/>
      <c r="J102" s="577"/>
      <c r="K102" s="577"/>
      <c r="L102" s="578"/>
    </row>
    <row r="103" spans="2:12" ht="27.75" customHeight="1" x14ac:dyDescent="0.25">
      <c r="B103" s="327"/>
      <c r="C103" s="314" t="s">
        <v>543</v>
      </c>
      <c r="D103" s="338"/>
      <c r="E103" s="338"/>
      <c r="F103" s="339"/>
      <c r="G103" s="315">
        <v>0.25</v>
      </c>
      <c r="H103" s="576" t="s">
        <v>544</v>
      </c>
      <c r="I103" s="577"/>
      <c r="J103" s="577"/>
      <c r="K103" s="577"/>
      <c r="L103" s="578"/>
    </row>
    <row r="104" spans="2:12" ht="27.75" customHeight="1" x14ac:dyDescent="0.25">
      <c r="B104" s="327"/>
      <c r="C104" s="314" t="s">
        <v>545</v>
      </c>
      <c r="D104" s="338"/>
      <c r="E104" s="338"/>
      <c r="F104" s="339"/>
      <c r="G104" s="315">
        <v>0.5</v>
      </c>
      <c r="H104" s="576" t="s">
        <v>546</v>
      </c>
      <c r="I104" s="577"/>
      <c r="J104" s="577"/>
      <c r="K104" s="577"/>
      <c r="L104" s="578"/>
    </row>
    <row r="105" spans="2:12" ht="27.75" customHeight="1" x14ac:dyDescent="0.25">
      <c r="B105" s="327"/>
      <c r="C105" s="314" t="s">
        <v>547</v>
      </c>
      <c r="D105" s="338"/>
      <c r="E105" s="338"/>
      <c r="F105" s="339"/>
      <c r="G105" s="315">
        <v>0.25</v>
      </c>
      <c r="H105" s="576" t="s">
        <v>548</v>
      </c>
      <c r="I105" s="577"/>
      <c r="J105" s="577"/>
      <c r="K105" s="577"/>
      <c r="L105" s="578"/>
    </row>
    <row r="106" spans="2:12" ht="27.75" customHeight="1" x14ac:dyDescent="0.25">
      <c r="B106" s="327"/>
      <c r="C106" s="314" t="s">
        <v>549</v>
      </c>
      <c r="D106" s="338"/>
      <c r="E106" s="338"/>
      <c r="F106" s="339"/>
      <c r="G106" s="315">
        <v>1</v>
      </c>
      <c r="H106" s="576" t="s">
        <v>550</v>
      </c>
      <c r="I106" s="577"/>
      <c r="J106" s="577"/>
      <c r="K106" s="577"/>
      <c r="L106" s="578"/>
    </row>
    <row r="107" spans="2:12" ht="27.75" customHeight="1" x14ac:dyDescent="0.25">
      <c r="B107" s="327"/>
      <c r="C107" s="314" t="s">
        <v>551</v>
      </c>
      <c r="D107" s="338"/>
      <c r="E107" s="338"/>
      <c r="F107" s="339"/>
      <c r="G107" s="315">
        <v>0.5</v>
      </c>
      <c r="H107" s="576" t="s">
        <v>552</v>
      </c>
      <c r="I107" s="577"/>
      <c r="J107" s="577"/>
      <c r="K107" s="577"/>
      <c r="L107" s="578"/>
    </row>
    <row r="108" spans="2:12" ht="27.75" customHeight="1" x14ac:dyDescent="0.25">
      <c r="B108" s="327"/>
      <c r="C108" s="314" t="s">
        <v>553</v>
      </c>
      <c r="D108" s="338"/>
      <c r="E108" s="338"/>
      <c r="F108" s="339"/>
      <c r="G108" s="315">
        <v>0.5</v>
      </c>
      <c r="H108" s="576" t="s">
        <v>552</v>
      </c>
      <c r="I108" s="577"/>
      <c r="J108" s="577"/>
      <c r="K108" s="577"/>
      <c r="L108" s="578"/>
    </row>
    <row r="109" spans="2:12" ht="27.75" customHeight="1" x14ac:dyDescent="0.25">
      <c r="B109" s="327"/>
      <c r="C109" s="314" t="s">
        <v>554</v>
      </c>
      <c r="D109" s="338"/>
      <c r="E109" s="338"/>
      <c r="F109" s="339"/>
      <c r="G109" s="315">
        <v>0.5</v>
      </c>
      <c r="H109" s="576" t="s">
        <v>552</v>
      </c>
      <c r="I109" s="577"/>
      <c r="J109" s="577"/>
      <c r="K109" s="577"/>
      <c r="L109" s="578"/>
    </row>
    <row r="110" spans="2:12" ht="27.75" customHeight="1" x14ac:dyDescent="0.25">
      <c r="B110" s="327"/>
      <c r="C110" s="314" t="s">
        <v>555</v>
      </c>
      <c r="D110" s="338"/>
      <c r="E110" s="338"/>
      <c r="F110" s="339"/>
      <c r="G110" s="315">
        <v>1</v>
      </c>
      <c r="H110" s="576" t="s">
        <v>556</v>
      </c>
      <c r="I110" s="577"/>
      <c r="J110" s="577"/>
      <c r="K110" s="577"/>
      <c r="L110" s="578"/>
    </row>
    <row r="111" spans="2:12" ht="27.75" customHeight="1" x14ac:dyDescent="0.25">
      <c r="B111" s="327"/>
      <c r="C111" s="314" t="s">
        <v>557</v>
      </c>
      <c r="D111" s="338"/>
      <c r="E111" s="338"/>
      <c r="F111" s="339"/>
      <c r="G111" s="315">
        <v>1</v>
      </c>
      <c r="H111" s="576" t="s">
        <v>556</v>
      </c>
      <c r="I111" s="577"/>
      <c r="J111" s="577"/>
      <c r="K111" s="577"/>
      <c r="L111" s="578"/>
    </row>
    <row r="112" spans="2:12" ht="27.75" customHeight="1" x14ac:dyDescent="0.25">
      <c r="B112" s="327"/>
      <c r="C112" s="314" t="s">
        <v>558</v>
      </c>
      <c r="D112" s="338"/>
      <c r="E112" s="338"/>
      <c r="F112" s="339"/>
      <c r="G112" s="315">
        <v>0.25</v>
      </c>
      <c r="H112" s="576" t="s">
        <v>548</v>
      </c>
      <c r="I112" s="577"/>
      <c r="J112" s="577"/>
      <c r="K112" s="577"/>
      <c r="L112" s="578"/>
    </row>
    <row r="113" spans="2:12" ht="27.75" customHeight="1" x14ac:dyDescent="0.25">
      <c r="B113" s="327"/>
      <c r="C113" s="314" t="s">
        <v>559</v>
      </c>
      <c r="D113" s="338"/>
      <c r="E113" s="338"/>
      <c r="F113" s="339"/>
      <c r="G113" s="315">
        <v>0.5</v>
      </c>
      <c r="H113" s="576" t="s">
        <v>560</v>
      </c>
      <c r="I113" s="577"/>
      <c r="J113" s="577"/>
      <c r="K113" s="577"/>
      <c r="L113" s="578"/>
    </row>
    <row r="114" spans="2:12" ht="27.75" customHeight="1" x14ac:dyDescent="0.25">
      <c r="B114" s="327"/>
      <c r="C114" s="314" t="s">
        <v>561</v>
      </c>
      <c r="D114" s="338"/>
      <c r="E114" s="338"/>
      <c r="F114" s="339"/>
      <c r="G114" s="315">
        <v>0.5</v>
      </c>
      <c r="H114" s="576" t="s">
        <v>562</v>
      </c>
      <c r="I114" s="577"/>
      <c r="J114" s="577"/>
      <c r="K114" s="577"/>
      <c r="L114" s="578"/>
    </row>
    <row r="115" spans="2:12" ht="27.75" customHeight="1" x14ac:dyDescent="0.25">
      <c r="B115" s="327"/>
      <c r="C115" s="314" t="s">
        <v>563</v>
      </c>
      <c r="D115" s="338"/>
      <c r="E115" s="338"/>
      <c r="F115" s="339"/>
      <c r="G115" s="315">
        <v>0.5</v>
      </c>
      <c r="H115" s="576" t="s">
        <v>562</v>
      </c>
      <c r="I115" s="577"/>
      <c r="J115" s="577"/>
      <c r="K115" s="577"/>
      <c r="L115" s="578"/>
    </row>
    <row r="116" spans="2:12" ht="27.75" customHeight="1" x14ac:dyDescent="0.25">
      <c r="B116" s="327"/>
      <c r="C116" s="314" t="s">
        <v>564</v>
      </c>
      <c r="D116" s="338"/>
      <c r="E116" s="338"/>
      <c r="F116" s="339"/>
      <c r="G116" s="315">
        <v>0.25</v>
      </c>
      <c r="H116" s="576" t="s">
        <v>565</v>
      </c>
      <c r="I116" s="577"/>
      <c r="J116" s="577"/>
      <c r="K116" s="577"/>
      <c r="L116" s="578"/>
    </row>
    <row r="117" spans="2:12" ht="27.75" customHeight="1" x14ac:dyDescent="0.25">
      <c r="B117" s="327"/>
      <c r="C117" s="314" t="s">
        <v>566</v>
      </c>
      <c r="D117" s="338"/>
      <c r="E117" s="338"/>
      <c r="F117" s="339"/>
      <c r="G117" s="315">
        <v>0.75</v>
      </c>
      <c r="H117" s="576" t="s">
        <v>567</v>
      </c>
      <c r="I117" s="577"/>
      <c r="J117" s="577"/>
      <c r="K117" s="577"/>
      <c r="L117" s="578"/>
    </row>
    <row r="118" spans="2:12" ht="27.75" customHeight="1" x14ac:dyDescent="0.25">
      <c r="B118" s="327"/>
      <c r="C118" s="314" t="s">
        <v>568</v>
      </c>
      <c r="D118" s="338"/>
      <c r="E118" s="338"/>
      <c r="F118" s="339"/>
      <c r="G118" s="315">
        <v>0.5</v>
      </c>
      <c r="H118" s="576" t="s">
        <v>569</v>
      </c>
      <c r="I118" s="577"/>
      <c r="J118" s="577"/>
      <c r="K118" s="577"/>
      <c r="L118" s="578"/>
    </row>
    <row r="119" spans="2:12" ht="27.75" customHeight="1" x14ac:dyDescent="0.25">
      <c r="B119" s="327"/>
      <c r="C119" s="314" t="s">
        <v>570</v>
      </c>
      <c r="D119" s="338"/>
      <c r="E119" s="338"/>
      <c r="F119" s="339"/>
      <c r="G119" s="315">
        <v>0.5</v>
      </c>
      <c r="H119" s="576" t="s">
        <v>569</v>
      </c>
      <c r="I119" s="577"/>
      <c r="J119" s="577"/>
      <c r="K119" s="577"/>
      <c r="L119" s="578"/>
    </row>
    <row r="120" spans="2:12" ht="27.75" customHeight="1" x14ac:dyDescent="0.25">
      <c r="B120" s="327"/>
      <c r="C120" s="314" t="s">
        <v>571</v>
      </c>
      <c r="D120" s="338"/>
      <c r="E120" s="338"/>
      <c r="F120" s="339"/>
      <c r="G120" s="315">
        <v>0.5</v>
      </c>
      <c r="H120" s="576" t="s">
        <v>572</v>
      </c>
      <c r="I120" s="577"/>
      <c r="J120" s="577"/>
      <c r="K120" s="577"/>
      <c r="L120" s="578"/>
    </row>
    <row r="121" spans="2:12" ht="21" customHeight="1" x14ac:dyDescent="0.25">
      <c r="C121" s="314" t="s">
        <v>573</v>
      </c>
      <c r="D121" s="338"/>
      <c r="E121" s="338"/>
      <c r="F121" s="339"/>
      <c r="G121" s="315">
        <v>0</v>
      </c>
      <c r="H121" s="576"/>
      <c r="I121" s="577"/>
      <c r="J121" s="577"/>
      <c r="K121" s="577"/>
      <c r="L121" s="578"/>
    </row>
    <row r="122" spans="2:12" ht="21" customHeight="1" x14ac:dyDescent="0.25"/>
    <row r="123" spans="2:12" ht="21" customHeight="1" x14ac:dyDescent="0.25"/>
    <row r="124" spans="2:12" ht="21" customHeight="1" x14ac:dyDescent="0.25"/>
    <row r="125" spans="2:12" ht="21" customHeight="1" x14ac:dyDescent="0.25">
      <c r="C125" s="137" t="s">
        <v>574</v>
      </c>
      <c r="D125" s="327"/>
    </row>
    <row r="126" spans="2:12" s="349" customFormat="1" ht="21" customHeight="1" thickBot="1" x14ac:dyDescent="0.3">
      <c r="B126" s="298"/>
      <c r="C126" s="348" t="s">
        <v>575</v>
      </c>
    </row>
    <row r="127" spans="2:12" s="352" customFormat="1" ht="21" customHeight="1" thickBot="1" x14ac:dyDescent="0.3">
      <c r="B127" s="298"/>
      <c r="C127" s="350" t="s">
        <v>576</v>
      </c>
      <c r="D127" s="316"/>
      <c r="E127" s="351" t="s">
        <v>577</v>
      </c>
    </row>
    <row r="128" spans="2:12" ht="21" customHeight="1" x14ac:dyDescent="0.3">
      <c r="C128" s="317" t="s">
        <v>578</v>
      </c>
      <c r="D128" s="318"/>
      <c r="E128" s="319">
        <v>69.135714285714343</v>
      </c>
      <c r="F128" s="347"/>
    </row>
    <row r="129" spans="3:6" ht="21" customHeight="1" x14ac:dyDescent="0.3">
      <c r="C129" s="320" t="s">
        <v>579</v>
      </c>
      <c r="D129" s="321"/>
      <c r="E129" s="322">
        <v>14.45</v>
      </c>
      <c r="F129" s="347"/>
    </row>
    <row r="130" spans="3:6" ht="21" customHeight="1" x14ac:dyDescent="0.3">
      <c r="C130" s="320" t="s">
        <v>580</v>
      </c>
      <c r="D130" s="321"/>
      <c r="E130" s="322">
        <v>66.7</v>
      </c>
      <c r="F130" s="347"/>
    </row>
    <row r="131" spans="3:6" ht="21" customHeight="1" x14ac:dyDescent="0.3">
      <c r="C131" s="320" t="s">
        <v>581</v>
      </c>
      <c r="D131" s="321"/>
      <c r="E131" s="322">
        <v>51.764285714285506</v>
      </c>
      <c r="F131" s="347"/>
    </row>
    <row r="132" spans="3:6" ht="21" customHeight="1" x14ac:dyDescent="0.3">
      <c r="C132" s="320" t="s">
        <v>582</v>
      </c>
      <c r="D132" s="321"/>
      <c r="E132" s="322">
        <v>59.73571428571428</v>
      </c>
      <c r="F132" s="347"/>
    </row>
    <row r="133" spans="3:6" ht="21" customHeight="1" x14ac:dyDescent="0.3">
      <c r="C133" s="320" t="s">
        <v>583</v>
      </c>
      <c r="D133" s="321"/>
      <c r="E133" s="322">
        <v>96.9</v>
      </c>
      <c r="F133" s="347"/>
    </row>
    <row r="134" spans="3:6" ht="21" customHeight="1" x14ac:dyDescent="0.3">
      <c r="C134" s="320" t="s">
        <v>584</v>
      </c>
      <c r="D134" s="321"/>
      <c r="E134" s="322">
        <v>64.842857142857255</v>
      </c>
      <c r="F134" s="347"/>
    </row>
    <row r="135" spans="3:6" ht="21" customHeight="1" x14ac:dyDescent="0.3">
      <c r="C135" s="320" t="s">
        <v>585</v>
      </c>
      <c r="D135" s="321"/>
      <c r="E135" s="322">
        <v>51.221428571428845</v>
      </c>
      <c r="F135" s="347"/>
    </row>
    <row r="136" spans="3:6" ht="21" customHeight="1" x14ac:dyDescent="0.3">
      <c r="C136" s="320" t="s">
        <v>586</v>
      </c>
      <c r="D136" s="321"/>
      <c r="E136" s="322">
        <v>19.664285714285707</v>
      </c>
      <c r="F136" s="347"/>
    </row>
    <row r="137" spans="3:6" ht="21" customHeight="1" x14ac:dyDescent="0.3">
      <c r="C137" s="320" t="s">
        <v>587</v>
      </c>
      <c r="D137" s="321"/>
      <c r="E137" s="322">
        <v>32.1</v>
      </c>
      <c r="F137" s="347"/>
    </row>
    <row r="138" spans="3:6" ht="21" customHeight="1" x14ac:dyDescent="0.3">
      <c r="C138" s="320" t="s">
        <v>588</v>
      </c>
      <c r="D138" s="321"/>
      <c r="E138" s="322">
        <v>114.9</v>
      </c>
      <c r="F138" s="347"/>
    </row>
    <row r="139" spans="3:6" ht="21" customHeight="1" x14ac:dyDescent="0.3">
      <c r="C139" s="320" t="s">
        <v>589</v>
      </c>
      <c r="D139" s="321"/>
      <c r="E139" s="322">
        <v>23.271428571428551</v>
      </c>
      <c r="F139" s="347"/>
    </row>
    <row r="140" spans="3:6" ht="21" customHeight="1" x14ac:dyDescent="0.3">
      <c r="C140" s="320" t="s">
        <v>590</v>
      </c>
      <c r="D140" s="321"/>
      <c r="E140" s="322">
        <v>15.014285714285727</v>
      </c>
      <c r="F140" s="347"/>
    </row>
    <row r="141" spans="3:6" ht="21" customHeight="1" thickBot="1" x14ac:dyDescent="0.35">
      <c r="C141" s="323"/>
      <c r="D141" s="324"/>
      <c r="E141" s="325"/>
      <c r="F141" s="347"/>
    </row>
    <row r="142" spans="3:6" ht="21" customHeight="1" x14ac:dyDescent="0.25">
      <c r="C142" s="115" t="s">
        <v>442</v>
      </c>
      <c r="D142" s="327"/>
    </row>
    <row r="143" spans="3:6" ht="21" customHeight="1" x14ac:dyDescent="0.25">
      <c r="C143" s="327"/>
      <c r="D143" s="327"/>
    </row>
  </sheetData>
  <sheetProtection password="CDF4" sheet="1" objects="1" scenarios="1"/>
  <mergeCells count="42">
    <mergeCell ref="C86:F86"/>
    <mergeCell ref="C22:D22"/>
    <mergeCell ref="C39:F39"/>
    <mergeCell ref="O28:P28"/>
    <mergeCell ref="I39:K39"/>
    <mergeCell ref="H86:L86"/>
    <mergeCell ref="C61:D61"/>
    <mergeCell ref="H91:L91"/>
    <mergeCell ref="H92:L92"/>
    <mergeCell ref="H87:L87"/>
    <mergeCell ref="H93:L93"/>
    <mergeCell ref="H94:L94"/>
    <mergeCell ref="H89:L89"/>
    <mergeCell ref="H90:L90"/>
    <mergeCell ref="H88:L88"/>
    <mergeCell ref="H110:L110"/>
    <mergeCell ref="H111:L111"/>
    <mergeCell ref="H112:L112"/>
    <mergeCell ref="H108:L108"/>
    <mergeCell ref="H109:L109"/>
    <mergeCell ref="H95:L95"/>
    <mergeCell ref="H105:L105"/>
    <mergeCell ref="H106:L106"/>
    <mergeCell ref="H107:L107"/>
    <mergeCell ref="H96:L96"/>
    <mergeCell ref="H97:L97"/>
    <mergeCell ref="H98:L98"/>
    <mergeCell ref="H99:L99"/>
    <mergeCell ref="H100:L100"/>
    <mergeCell ref="H103:L103"/>
    <mergeCell ref="H104:L104"/>
    <mergeCell ref="H101:L101"/>
    <mergeCell ref="H102:L102"/>
    <mergeCell ref="H121:L121"/>
    <mergeCell ref="H116:L116"/>
    <mergeCell ref="H117:L117"/>
    <mergeCell ref="H120:L120"/>
    <mergeCell ref="H113:L113"/>
    <mergeCell ref="H114:L114"/>
    <mergeCell ref="H115:L115"/>
    <mergeCell ref="H118:L118"/>
    <mergeCell ref="H119:L119"/>
  </mergeCells>
  <phoneticPr fontId="4" type="noConversion"/>
  <hyperlinks>
    <hyperlink ref="C126" location="Waivers!A1" display="Top of Page" xr:uid="{00000000-0004-0000-0A00-000000000000}"/>
  </hyperlinks>
  <pageMargins left="0.19685039370078741" right="0.19685039370078741" top="0.98425196850393704" bottom="0.98425196850393704" header="0.51181102362204722" footer="0.51181102362204722"/>
  <pageSetup paperSize="9" scale="4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213360</xdr:colOff>
                    <xdr:row>3</xdr:row>
                    <xdr:rowOff>60960</xdr:rowOff>
                  </from>
                  <to>
                    <xdr:col>9</xdr:col>
                    <xdr:colOff>198120</xdr:colOff>
                    <xdr:row>4</xdr:row>
                    <xdr:rowOff>30480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213360</xdr:colOff>
                    <xdr:row>4</xdr:row>
                    <xdr:rowOff>38100</xdr:rowOff>
                  </from>
                  <to>
                    <xdr:col>9</xdr:col>
                    <xdr:colOff>2065020</xdr:colOff>
                    <xdr:row>5</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213360</xdr:colOff>
                    <xdr:row>5</xdr:row>
                    <xdr:rowOff>45720</xdr:rowOff>
                  </from>
                  <to>
                    <xdr:col>6</xdr:col>
                    <xdr:colOff>373380</xdr:colOff>
                    <xdr:row>6</xdr:row>
                    <xdr:rowOff>45720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213360</xdr:colOff>
                    <xdr:row>6</xdr:row>
                    <xdr:rowOff>60960</xdr:rowOff>
                  </from>
                  <to>
                    <xdr:col>8</xdr:col>
                    <xdr:colOff>137160</xdr:colOff>
                    <xdr:row>7</xdr:row>
                    <xdr:rowOff>60960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213360</xdr:colOff>
                    <xdr:row>7</xdr:row>
                    <xdr:rowOff>68580</xdr:rowOff>
                  </from>
                  <to>
                    <xdr:col>13</xdr:col>
                    <xdr:colOff>76200</xdr:colOff>
                    <xdr:row>8</xdr:row>
                    <xdr:rowOff>76200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213360</xdr:colOff>
                    <xdr:row>17</xdr:row>
                    <xdr:rowOff>7620</xdr:rowOff>
                  </from>
                  <to>
                    <xdr:col>5</xdr:col>
                    <xdr:colOff>617220</xdr:colOff>
                    <xdr:row>18</xdr:row>
                    <xdr:rowOff>7620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213360</xdr:colOff>
                    <xdr:row>33</xdr:row>
                    <xdr:rowOff>30480</xdr:rowOff>
                  </from>
                  <to>
                    <xdr:col>9</xdr:col>
                    <xdr:colOff>754380</xdr:colOff>
                    <xdr:row>34</xdr:row>
                    <xdr:rowOff>30480</xdr:rowOff>
                  </to>
                </anchor>
              </controlPr>
            </control>
          </mc:Choice>
        </mc:AlternateContent>
        <mc:AlternateContent xmlns:mc="http://schemas.openxmlformats.org/markup-compatibility/2006">
          <mc:Choice Requires="x14">
            <control shapeId="16392" r:id="rId11" name="Drop Down 8">
              <controlPr defaultSize="0" autoLine="0" autoPict="0">
                <anchor moveWithCells="1">
                  <from>
                    <xdr:col>8</xdr:col>
                    <xdr:colOff>0</xdr:colOff>
                    <xdr:row>39</xdr:row>
                    <xdr:rowOff>7620</xdr:rowOff>
                  </from>
                  <to>
                    <xdr:col>11</xdr:col>
                    <xdr:colOff>30480</xdr:colOff>
                    <xdr:row>40</xdr:row>
                    <xdr:rowOff>22860</xdr:rowOff>
                  </to>
                </anchor>
              </controlPr>
            </control>
          </mc:Choice>
        </mc:AlternateContent>
        <mc:AlternateContent xmlns:mc="http://schemas.openxmlformats.org/markup-compatibility/2006">
          <mc:Choice Requires="x14">
            <control shapeId="16393" r:id="rId12" name="Drop Down 9">
              <controlPr defaultSize="0" autoLine="0" autoPict="0">
                <anchor moveWithCells="1">
                  <from>
                    <xdr:col>8</xdr:col>
                    <xdr:colOff>0</xdr:colOff>
                    <xdr:row>40</xdr:row>
                    <xdr:rowOff>7620</xdr:rowOff>
                  </from>
                  <to>
                    <xdr:col>11</xdr:col>
                    <xdr:colOff>22860</xdr:colOff>
                    <xdr:row>41</xdr:row>
                    <xdr:rowOff>7620</xdr:rowOff>
                  </to>
                </anchor>
              </controlPr>
            </control>
          </mc:Choice>
        </mc:AlternateContent>
        <mc:AlternateContent xmlns:mc="http://schemas.openxmlformats.org/markup-compatibility/2006">
          <mc:Choice Requires="x14">
            <control shapeId="16394" r:id="rId13" name="Drop Down 10">
              <controlPr defaultSize="0" autoLine="0" autoPict="0">
                <anchor moveWithCells="1">
                  <from>
                    <xdr:col>8</xdr:col>
                    <xdr:colOff>0</xdr:colOff>
                    <xdr:row>41</xdr:row>
                    <xdr:rowOff>7620</xdr:rowOff>
                  </from>
                  <to>
                    <xdr:col>11</xdr:col>
                    <xdr:colOff>22860</xdr:colOff>
                    <xdr:row>42</xdr:row>
                    <xdr:rowOff>22860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213360</xdr:colOff>
                    <xdr:row>34</xdr:row>
                    <xdr:rowOff>38100</xdr:rowOff>
                  </from>
                  <to>
                    <xdr:col>5</xdr:col>
                    <xdr:colOff>236220</xdr:colOff>
                    <xdr:row>35</xdr:row>
                    <xdr:rowOff>38100</xdr:rowOff>
                  </to>
                </anchor>
              </controlPr>
            </control>
          </mc:Choice>
        </mc:AlternateContent>
        <mc:AlternateContent xmlns:mc="http://schemas.openxmlformats.org/markup-compatibility/2006">
          <mc:Choice Requires="x14">
            <control shapeId="16401" r:id="rId15" name="Check Box 17">
              <controlPr defaultSize="0" autoFill="0" autoLine="0" autoPict="0">
                <anchor moveWithCells="1">
                  <from>
                    <xdr:col>1</xdr:col>
                    <xdr:colOff>213360</xdr:colOff>
                    <xdr:row>55</xdr:row>
                    <xdr:rowOff>7620</xdr:rowOff>
                  </from>
                  <to>
                    <xdr:col>6</xdr:col>
                    <xdr:colOff>335280</xdr:colOff>
                    <xdr:row>56</xdr:row>
                    <xdr:rowOff>7620</xdr:rowOff>
                  </to>
                </anchor>
              </controlPr>
            </control>
          </mc:Choice>
        </mc:AlternateContent>
        <mc:AlternateContent xmlns:mc="http://schemas.openxmlformats.org/markup-compatibility/2006">
          <mc:Choice Requires="x14">
            <control shapeId="16403" r:id="rId16" name="Check Box 19">
              <controlPr defaultSize="0" autoFill="0" autoLine="0" autoPict="0">
                <anchor moveWithCells="1">
                  <from>
                    <xdr:col>2</xdr:col>
                    <xdr:colOff>0</xdr:colOff>
                    <xdr:row>55</xdr:row>
                    <xdr:rowOff>251460</xdr:rowOff>
                  </from>
                  <to>
                    <xdr:col>5</xdr:col>
                    <xdr:colOff>1066800</xdr:colOff>
                    <xdr:row>56</xdr:row>
                    <xdr:rowOff>251460</xdr:rowOff>
                  </to>
                </anchor>
              </controlPr>
            </control>
          </mc:Choice>
        </mc:AlternateContent>
        <mc:AlternateContent xmlns:mc="http://schemas.openxmlformats.org/markup-compatibility/2006">
          <mc:Choice Requires="x14">
            <control shapeId="16404" r:id="rId17" name="Check Box 20">
              <controlPr defaultSize="0" autoFill="0" autoLine="0" autoPict="0">
                <anchor moveWithCells="1">
                  <from>
                    <xdr:col>1</xdr:col>
                    <xdr:colOff>213360</xdr:colOff>
                    <xdr:row>56</xdr:row>
                    <xdr:rowOff>228600</xdr:rowOff>
                  </from>
                  <to>
                    <xdr:col>8</xdr:col>
                    <xdr:colOff>541020</xdr:colOff>
                    <xdr:row>57</xdr:row>
                    <xdr:rowOff>228600</xdr:rowOff>
                  </to>
                </anchor>
              </controlPr>
            </control>
          </mc:Choice>
        </mc:AlternateContent>
        <mc:AlternateContent xmlns:mc="http://schemas.openxmlformats.org/markup-compatibility/2006">
          <mc:Choice Requires="x14">
            <control shapeId="16406" r:id="rId18" name="Check Box 22">
              <controlPr defaultSize="0" autoFill="0" autoLine="0" autoPict="0">
                <anchor moveWithCells="1">
                  <from>
                    <xdr:col>1</xdr:col>
                    <xdr:colOff>213360</xdr:colOff>
                    <xdr:row>16</xdr:row>
                    <xdr:rowOff>45720</xdr:rowOff>
                  </from>
                  <to>
                    <xdr:col>6</xdr:col>
                    <xdr:colOff>266700</xdr:colOff>
                    <xdr:row>17</xdr:row>
                    <xdr:rowOff>45720</xdr:rowOff>
                  </to>
                </anchor>
              </controlPr>
            </control>
          </mc:Choice>
        </mc:AlternateContent>
        <mc:AlternateContent xmlns:mc="http://schemas.openxmlformats.org/markup-compatibility/2006">
          <mc:Choice Requires="x14">
            <control shapeId="16407" r:id="rId19" name="Check Box 23">
              <controlPr defaultSize="0" autoFill="0" autoLine="0" autoPict="0">
                <anchor moveWithCells="1">
                  <from>
                    <xdr:col>1</xdr:col>
                    <xdr:colOff>213360</xdr:colOff>
                    <xdr:row>32</xdr:row>
                    <xdr:rowOff>22860</xdr:rowOff>
                  </from>
                  <to>
                    <xdr:col>6</xdr:col>
                    <xdr:colOff>266700</xdr:colOff>
                    <xdr:row>33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75" workbookViewId="0"/>
  </sheetViews>
  <sheetFormatPr defaultColWidth="9.109375" defaultRowHeight="13.2" x14ac:dyDescent="0.25"/>
  <cols>
    <col min="1" max="1" width="3.6640625" style="109" customWidth="1"/>
    <col min="2" max="16384" width="9.109375" style="109"/>
  </cols>
  <sheetData>
    <row r="1" spans="1:1" ht="15.6" x14ac:dyDescent="0.25">
      <c r="A1" s="374" t="s">
        <v>616</v>
      </c>
    </row>
  </sheetData>
  <sheetProtection password="CDF4" sheet="1" objects="1" scenarios="1"/>
  <phoneticPr fontId="4" type="noConversion"/>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P58"/>
  <sheetViews>
    <sheetView showGridLines="0" zoomScale="115" zoomScaleNormal="115" workbookViewId="0">
      <pane ySplit="1" topLeftCell="A43" activePane="bottomLeft" state="frozen"/>
      <selection pane="bottomLeft" activeCell="D55" sqref="D55:P55"/>
    </sheetView>
  </sheetViews>
  <sheetFormatPr defaultColWidth="9.109375" defaultRowHeight="13.2" x14ac:dyDescent="0.25"/>
  <cols>
    <col min="1" max="1" width="12.109375" style="109" customWidth="1"/>
    <col min="2" max="2" width="11.5546875" style="109" customWidth="1"/>
    <col min="3" max="3" width="10.109375" style="109" bestFit="1" customWidth="1"/>
    <col min="4" max="16384" width="9.109375" style="109"/>
  </cols>
  <sheetData>
    <row r="1" spans="1:16" ht="39.6" x14ac:dyDescent="0.25">
      <c r="A1" s="67" t="s">
        <v>308</v>
      </c>
      <c r="B1" s="68" t="s">
        <v>311</v>
      </c>
      <c r="C1" s="68" t="s">
        <v>309</v>
      </c>
      <c r="D1" s="588" t="s">
        <v>310</v>
      </c>
      <c r="E1" s="589"/>
      <c r="F1" s="589"/>
      <c r="G1" s="589"/>
      <c r="H1" s="589"/>
      <c r="I1" s="589"/>
      <c r="J1" s="589"/>
      <c r="K1" s="589"/>
      <c r="L1" s="589"/>
      <c r="M1" s="589"/>
      <c r="N1" s="589"/>
      <c r="O1" s="589"/>
      <c r="P1" s="590"/>
    </row>
    <row r="2" spans="1:16" s="245" customFormat="1" x14ac:dyDescent="0.25">
      <c r="A2" s="247">
        <v>4</v>
      </c>
      <c r="B2" s="246">
        <v>40003</v>
      </c>
      <c r="C2" s="246">
        <v>39994</v>
      </c>
      <c r="D2" s="591" t="s">
        <v>349</v>
      </c>
      <c r="E2" s="587"/>
      <c r="F2" s="587"/>
      <c r="G2" s="587"/>
      <c r="H2" s="587"/>
      <c r="I2" s="587"/>
      <c r="J2" s="587"/>
      <c r="K2" s="587"/>
      <c r="L2" s="587"/>
      <c r="M2" s="587"/>
      <c r="N2" s="587"/>
      <c r="O2" s="587"/>
      <c r="P2" s="587"/>
    </row>
    <row r="3" spans="1:16" s="245" customFormat="1" x14ac:dyDescent="0.25">
      <c r="A3" s="247">
        <v>4.0999999999999996</v>
      </c>
      <c r="B3" s="246">
        <v>40023</v>
      </c>
      <c r="C3" s="247"/>
      <c r="D3" s="591" t="s">
        <v>452</v>
      </c>
      <c r="E3" s="587"/>
      <c r="F3" s="587"/>
      <c r="G3" s="587"/>
      <c r="H3" s="587"/>
      <c r="I3" s="587"/>
      <c r="J3" s="587"/>
      <c r="K3" s="587"/>
      <c r="L3" s="587"/>
      <c r="M3" s="587"/>
      <c r="N3" s="587"/>
      <c r="O3" s="587"/>
      <c r="P3" s="587"/>
    </row>
    <row r="4" spans="1:16" s="245" customFormat="1" x14ac:dyDescent="0.25">
      <c r="A4" s="252">
        <v>4.2</v>
      </c>
      <c r="B4" s="246">
        <v>39383</v>
      </c>
      <c r="C4" s="246"/>
      <c r="D4" s="594" t="s">
        <v>490</v>
      </c>
      <c r="E4" s="595"/>
      <c r="F4" s="595"/>
      <c r="G4" s="595"/>
      <c r="H4" s="595"/>
      <c r="I4" s="595"/>
      <c r="J4" s="595"/>
      <c r="K4" s="595"/>
      <c r="L4" s="595"/>
      <c r="M4" s="595"/>
      <c r="N4" s="595"/>
      <c r="O4" s="595"/>
      <c r="P4" s="596"/>
    </row>
    <row r="5" spans="1:16" s="245" customFormat="1" x14ac:dyDescent="0.25">
      <c r="A5" s="247">
        <v>4.3</v>
      </c>
      <c r="B5" s="246">
        <v>40388</v>
      </c>
      <c r="C5" s="247"/>
      <c r="D5" s="591" t="s">
        <v>605</v>
      </c>
      <c r="E5" s="587"/>
      <c r="F5" s="587"/>
      <c r="G5" s="587"/>
      <c r="H5" s="587"/>
      <c r="I5" s="587"/>
      <c r="J5" s="587"/>
      <c r="K5" s="587"/>
      <c r="L5" s="587"/>
      <c r="M5" s="587"/>
      <c r="N5" s="587"/>
      <c r="O5" s="587"/>
      <c r="P5" s="587"/>
    </row>
    <row r="6" spans="1:16" s="245" customFormat="1" x14ac:dyDescent="0.25">
      <c r="A6" s="247">
        <v>4.4000000000000004</v>
      </c>
      <c r="B6" s="246">
        <v>40492</v>
      </c>
      <c r="C6" s="247"/>
      <c r="D6" s="591" t="s">
        <v>606</v>
      </c>
      <c r="E6" s="587"/>
      <c r="F6" s="587"/>
      <c r="G6" s="587"/>
      <c r="H6" s="587"/>
      <c r="I6" s="587"/>
      <c r="J6" s="587"/>
      <c r="K6" s="587"/>
      <c r="L6" s="587"/>
      <c r="M6" s="587"/>
      <c r="N6" s="587"/>
      <c r="O6" s="587"/>
      <c r="P6" s="587"/>
    </row>
    <row r="7" spans="1:16" s="245" customFormat="1" x14ac:dyDescent="0.25">
      <c r="A7" s="247">
        <v>4.5</v>
      </c>
      <c r="B7" s="246">
        <v>40794</v>
      </c>
      <c r="C7" s="247"/>
      <c r="D7" s="591" t="s">
        <v>609</v>
      </c>
      <c r="E7" s="587"/>
      <c r="F7" s="587"/>
      <c r="G7" s="587"/>
      <c r="H7" s="587"/>
      <c r="I7" s="587"/>
      <c r="J7" s="587"/>
      <c r="K7" s="587"/>
      <c r="L7" s="587"/>
      <c r="M7" s="587"/>
      <c r="N7" s="587"/>
      <c r="O7" s="587"/>
      <c r="P7" s="587"/>
    </row>
    <row r="8" spans="1:16" s="245" customFormat="1" ht="27" customHeight="1" x14ac:dyDescent="0.25">
      <c r="A8" s="247">
        <v>4.5999999999999996</v>
      </c>
      <c r="B8" s="246">
        <v>40909</v>
      </c>
      <c r="C8" s="247"/>
      <c r="D8" s="591" t="s">
        <v>608</v>
      </c>
      <c r="E8" s="587"/>
      <c r="F8" s="587"/>
      <c r="G8" s="587"/>
      <c r="H8" s="587"/>
      <c r="I8" s="587"/>
      <c r="J8" s="587"/>
      <c r="K8" s="587"/>
      <c r="L8" s="587"/>
      <c r="M8" s="587"/>
      <c r="N8" s="587"/>
      <c r="O8" s="587"/>
      <c r="P8" s="587"/>
    </row>
    <row r="9" spans="1:16" s="245" customFormat="1" ht="27.75" customHeight="1" x14ac:dyDescent="0.25">
      <c r="A9" s="247">
        <v>4.7</v>
      </c>
      <c r="B9" s="246">
        <v>41000</v>
      </c>
      <c r="C9" s="247"/>
      <c r="D9" s="591" t="s">
        <v>1</v>
      </c>
      <c r="E9" s="587"/>
      <c r="F9" s="587"/>
      <c r="G9" s="587"/>
      <c r="H9" s="587"/>
      <c r="I9" s="587"/>
      <c r="J9" s="587"/>
      <c r="K9" s="587"/>
      <c r="L9" s="587"/>
      <c r="M9" s="587"/>
      <c r="N9" s="587"/>
      <c r="O9" s="587"/>
      <c r="P9" s="587"/>
    </row>
    <row r="10" spans="1:16" s="245" customFormat="1" x14ac:dyDescent="0.25">
      <c r="A10" s="247">
        <v>4.8</v>
      </c>
      <c r="B10" s="246">
        <v>41091</v>
      </c>
      <c r="C10" s="247"/>
      <c r="D10" s="591" t="s">
        <v>610</v>
      </c>
      <c r="E10" s="587"/>
      <c r="F10" s="587"/>
      <c r="G10" s="587"/>
      <c r="H10" s="587"/>
      <c r="I10" s="587"/>
      <c r="J10" s="587"/>
      <c r="K10" s="587"/>
      <c r="L10" s="587"/>
      <c r="M10" s="587"/>
      <c r="N10" s="587"/>
      <c r="O10" s="587"/>
      <c r="P10" s="587"/>
    </row>
    <row r="11" spans="1:16" s="245" customFormat="1" ht="27" customHeight="1" x14ac:dyDescent="0.25">
      <c r="A11" s="247">
        <v>4.9000000000000004</v>
      </c>
      <c r="B11" s="246">
        <v>41183</v>
      </c>
      <c r="C11" s="247"/>
      <c r="D11" s="591" t="s">
        <v>611</v>
      </c>
      <c r="E11" s="587"/>
      <c r="F11" s="587"/>
      <c r="G11" s="587"/>
      <c r="H11" s="587"/>
      <c r="I11" s="587"/>
      <c r="J11" s="587"/>
      <c r="K11" s="587"/>
      <c r="L11" s="587"/>
      <c r="M11" s="587"/>
      <c r="N11" s="587"/>
      <c r="O11" s="587"/>
      <c r="P11" s="587"/>
    </row>
    <row r="12" spans="1:16" s="245" customFormat="1" x14ac:dyDescent="0.25">
      <c r="A12" s="375">
        <v>4.0999999999999996</v>
      </c>
      <c r="B12" s="246">
        <v>41275</v>
      </c>
      <c r="C12" s="247"/>
      <c r="D12" s="591" t="s">
        <v>613</v>
      </c>
      <c r="E12" s="587"/>
      <c r="F12" s="587"/>
      <c r="G12" s="587"/>
      <c r="H12" s="587"/>
      <c r="I12" s="587"/>
      <c r="J12" s="587"/>
      <c r="K12" s="587"/>
      <c r="L12" s="587"/>
      <c r="M12" s="587"/>
      <c r="N12" s="587"/>
      <c r="O12" s="587"/>
      <c r="P12" s="587"/>
    </row>
    <row r="13" spans="1:16" s="245" customFormat="1" ht="15.75" customHeight="1" x14ac:dyDescent="0.25">
      <c r="A13" s="247">
        <v>4.1100000000000003</v>
      </c>
      <c r="B13" s="246">
        <v>41365</v>
      </c>
      <c r="C13" s="247"/>
      <c r="D13" s="586" t="s">
        <v>614</v>
      </c>
      <c r="E13" s="587"/>
      <c r="F13" s="587"/>
      <c r="G13" s="587"/>
      <c r="H13" s="587"/>
      <c r="I13" s="587"/>
      <c r="J13" s="587"/>
      <c r="K13" s="587"/>
      <c r="L13" s="587"/>
      <c r="M13" s="587"/>
      <c r="N13" s="587"/>
      <c r="O13" s="587"/>
      <c r="P13" s="587"/>
    </row>
    <row r="14" spans="1:16" s="245" customFormat="1" ht="27.75" customHeight="1" x14ac:dyDescent="0.25">
      <c r="A14" s="247">
        <v>4.12</v>
      </c>
      <c r="B14" s="246">
        <v>41456</v>
      </c>
      <c r="C14" s="247"/>
      <c r="D14" s="586" t="s">
        <v>615</v>
      </c>
      <c r="E14" s="587"/>
      <c r="F14" s="587"/>
      <c r="G14" s="587"/>
      <c r="H14" s="587"/>
      <c r="I14" s="587"/>
      <c r="J14" s="587"/>
      <c r="K14" s="587"/>
      <c r="L14" s="587"/>
      <c r="M14" s="587"/>
      <c r="N14" s="587"/>
      <c r="O14" s="587"/>
      <c r="P14" s="587"/>
    </row>
    <row r="15" spans="1:16" s="245" customFormat="1" x14ac:dyDescent="0.25">
      <c r="A15" s="247">
        <v>4.13</v>
      </c>
      <c r="B15" s="390">
        <v>41548</v>
      </c>
      <c r="C15" s="391"/>
      <c r="D15" s="597" t="s">
        <v>618</v>
      </c>
      <c r="E15" s="598"/>
      <c r="F15" s="598"/>
      <c r="G15" s="598"/>
      <c r="H15" s="598"/>
      <c r="I15" s="598"/>
      <c r="J15" s="598"/>
      <c r="K15" s="598"/>
      <c r="L15" s="598"/>
      <c r="M15" s="598"/>
      <c r="N15" s="598"/>
      <c r="O15" s="598"/>
      <c r="P15" s="598"/>
    </row>
    <row r="16" spans="1:16" s="245" customFormat="1" x14ac:dyDescent="0.25">
      <c r="A16" s="247">
        <v>4.1399999999999997</v>
      </c>
      <c r="B16" s="392">
        <v>41640</v>
      </c>
      <c r="C16" s="393"/>
      <c r="D16" s="599" t="s">
        <v>617</v>
      </c>
      <c r="E16" s="600"/>
      <c r="F16" s="600"/>
      <c r="G16" s="600"/>
      <c r="H16" s="600"/>
      <c r="I16" s="600"/>
      <c r="J16" s="600"/>
      <c r="K16" s="600"/>
      <c r="L16" s="600"/>
      <c r="M16" s="600"/>
      <c r="N16" s="600"/>
      <c r="O16" s="600"/>
      <c r="P16" s="600"/>
    </row>
    <row r="17" spans="1:16" s="245" customFormat="1" ht="27" customHeight="1" x14ac:dyDescent="0.25">
      <c r="A17" s="247">
        <v>4.1500000000000004</v>
      </c>
      <c r="B17" s="394">
        <v>41758</v>
      </c>
      <c r="C17" s="395"/>
      <c r="D17" s="592" t="s">
        <v>620</v>
      </c>
      <c r="E17" s="593"/>
      <c r="F17" s="593"/>
      <c r="G17" s="593"/>
      <c r="H17" s="593"/>
      <c r="I17" s="593"/>
      <c r="J17" s="593"/>
      <c r="K17" s="593"/>
      <c r="L17" s="593"/>
      <c r="M17" s="593"/>
      <c r="N17" s="593"/>
      <c r="O17" s="593"/>
      <c r="P17" s="593"/>
    </row>
    <row r="18" spans="1:16" s="245" customFormat="1" ht="12.75" customHeight="1" x14ac:dyDescent="0.25">
      <c r="A18" s="247">
        <v>4.16</v>
      </c>
      <c r="B18" s="398">
        <v>41821</v>
      </c>
      <c r="C18" s="399"/>
      <c r="D18" s="603" t="s">
        <v>621</v>
      </c>
      <c r="E18" s="604"/>
      <c r="F18" s="604"/>
      <c r="G18" s="604"/>
      <c r="H18" s="604"/>
      <c r="I18" s="604"/>
      <c r="J18" s="604"/>
      <c r="K18" s="604"/>
      <c r="L18" s="604"/>
      <c r="M18" s="604"/>
      <c r="N18" s="604"/>
      <c r="O18" s="604"/>
      <c r="P18" s="604"/>
    </row>
    <row r="19" spans="1:16" s="245" customFormat="1" x14ac:dyDescent="0.25">
      <c r="A19" s="247">
        <v>4.17</v>
      </c>
      <c r="B19" s="246">
        <v>41913</v>
      </c>
      <c r="C19" s="247"/>
      <c r="D19" s="605" t="s">
        <v>622</v>
      </c>
      <c r="E19" s="606"/>
      <c r="F19" s="606"/>
      <c r="G19" s="606"/>
      <c r="H19" s="606"/>
      <c r="I19" s="606"/>
      <c r="J19" s="606"/>
      <c r="K19" s="606"/>
      <c r="L19" s="606"/>
      <c r="M19" s="606"/>
      <c r="N19" s="606"/>
      <c r="O19" s="606"/>
      <c r="P19" s="606"/>
    </row>
    <row r="20" spans="1:16" s="245" customFormat="1" x14ac:dyDescent="0.25">
      <c r="A20" s="247">
        <v>4.18</v>
      </c>
      <c r="B20" s="412">
        <v>42009</v>
      </c>
      <c r="C20" s="413"/>
      <c r="D20" s="601" t="s">
        <v>623</v>
      </c>
      <c r="E20" s="602"/>
      <c r="F20" s="602"/>
      <c r="G20" s="602"/>
      <c r="H20" s="602"/>
      <c r="I20" s="602"/>
      <c r="J20" s="602"/>
      <c r="K20" s="602"/>
      <c r="L20" s="602"/>
      <c r="M20" s="602"/>
      <c r="N20" s="602"/>
      <c r="O20" s="602"/>
      <c r="P20" s="602"/>
    </row>
    <row r="21" spans="1:16" s="245" customFormat="1" x14ac:dyDescent="0.25">
      <c r="A21" s="247">
        <v>4.1900000000000004</v>
      </c>
      <c r="B21" s="246">
        <v>42089</v>
      </c>
      <c r="C21" s="247"/>
      <c r="D21" s="601" t="s">
        <v>624</v>
      </c>
      <c r="E21" s="602"/>
      <c r="F21" s="602"/>
      <c r="G21" s="602"/>
      <c r="H21" s="602"/>
      <c r="I21" s="602"/>
      <c r="J21" s="602"/>
      <c r="K21" s="602"/>
      <c r="L21" s="602"/>
      <c r="M21" s="602"/>
      <c r="N21" s="602"/>
      <c r="O21" s="602"/>
      <c r="P21" s="602"/>
    </row>
    <row r="22" spans="1:16" s="245" customFormat="1" x14ac:dyDescent="0.25">
      <c r="A22" s="414" t="s">
        <v>625</v>
      </c>
      <c r="B22" s="246">
        <v>42180</v>
      </c>
      <c r="C22" s="247"/>
      <c r="D22" s="601" t="s">
        <v>626</v>
      </c>
      <c r="E22" s="602"/>
      <c r="F22" s="602"/>
      <c r="G22" s="602"/>
      <c r="H22" s="602"/>
      <c r="I22" s="602"/>
      <c r="J22" s="602"/>
      <c r="K22" s="602"/>
      <c r="L22" s="602"/>
      <c r="M22" s="602"/>
      <c r="N22" s="602"/>
      <c r="O22" s="602"/>
      <c r="P22" s="602"/>
    </row>
    <row r="23" spans="1:16" x14ac:dyDescent="0.25">
      <c r="A23" s="247">
        <v>4.21</v>
      </c>
      <c r="B23" s="246">
        <v>42276</v>
      </c>
      <c r="C23" s="247"/>
      <c r="D23" s="607" t="s">
        <v>627</v>
      </c>
      <c r="E23" s="587"/>
      <c r="F23" s="587"/>
      <c r="G23" s="587"/>
      <c r="H23" s="587"/>
      <c r="I23" s="587"/>
      <c r="J23" s="587"/>
      <c r="K23" s="587"/>
      <c r="L23" s="587"/>
      <c r="M23" s="587"/>
      <c r="N23" s="587"/>
      <c r="O23" s="587"/>
      <c r="P23" s="587"/>
    </row>
    <row r="24" spans="1:16" x14ac:dyDescent="0.25">
      <c r="A24" s="247">
        <v>4.22</v>
      </c>
      <c r="B24" s="246">
        <v>42376</v>
      </c>
      <c r="C24" s="247"/>
      <c r="D24" s="601" t="s">
        <v>628</v>
      </c>
      <c r="E24" s="602"/>
      <c r="F24" s="602"/>
      <c r="G24" s="602"/>
      <c r="H24" s="602"/>
      <c r="I24" s="602"/>
      <c r="J24" s="602"/>
      <c r="K24" s="602"/>
      <c r="L24" s="602"/>
      <c r="M24" s="602"/>
      <c r="N24" s="602"/>
      <c r="O24" s="602"/>
      <c r="P24" s="602"/>
    </row>
    <row r="25" spans="1:16" x14ac:dyDescent="0.25">
      <c r="A25" s="247">
        <v>4.2300000000000004</v>
      </c>
      <c r="B25" s="246">
        <v>42465</v>
      </c>
      <c r="C25" s="247"/>
      <c r="D25" s="601" t="s">
        <v>629</v>
      </c>
      <c r="E25" s="602"/>
      <c r="F25" s="602"/>
      <c r="G25" s="602"/>
      <c r="H25" s="602"/>
      <c r="I25" s="602"/>
      <c r="J25" s="602"/>
      <c r="K25" s="602"/>
      <c r="L25" s="602"/>
      <c r="M25" s="602"/>
      <c r="N25" s="602"/>
      <c r="O25" s="602"/>
      <c r="P25" s="602"/>
    </row>
    <row r="26" spans="1:16" x14ac:dyDescent="0.25">
      <c r="A26" s="247">
        <v>4.24</v>
      </c>
      <c r="B26" s="246">
        <v>42531</v>
      </c>
      <c r="C26" s="247"/>
      <c r="D26" s="601" t="s">
        <v>630</v>
      </c>
      <c r="E26" s="602"/>
      <c r="F26" s="602"/>
      <c r="G26" s="602"/>
      <c r="H26" s="602"/>
      <c r="I26" s="602"/>
      <c r="J26" s="602"/>
      <c r="K26" s="602"/>
      <c r="L26" s="602"/>
      <c r="M26" s="602"/>
      <c r="N26" s="602"/>
      <c r="O26" s="602"/>
      <c r="P26" s="602"/>
    </row>
    <row r="27" spans="1:16" x14ac:dyDescent="0.25">
      <c r="A27" s="247">
        <v>4.25</v>
      </c>
      <c r="B27" s="246">
        <v>42621</v>
      </c>
      <c r="C27" s="247"/>
      <c r="D27" s="601" t="s">
        <v>631</v>
      </c>
      <c r="E27" s="602"/>
      <c r="F27" s="602"/>
      <c r="G27" s="602"/>
      <c r="H27" s="602"/>
      <c r="I27" s="602"/>
      <c r="J27" s="602"/>
      <c r="K27" s="602"/>
      <c r="L27" s="602"/>
      <c r="M27" s="602"/>
      <c r="N27" s="602"/>
      <c r="O27" s="602"/>
      <c r="P27" s="602"/>
    </row>
    <row r="28" spans="1:16" x14ac:dyDescent="0.25">
      <c r="A28" s="247">
        <v>4.26</v>
      </c>
      <c r="B28" s="246">
        <v>42739</v>
      </c>
      <c r="C28" s="247"/>
      <c r="D28" s="601" t="s">
        <v>632</v>
      </c>
      <c r="E28" s="602"/>
      <c r="F28" s="602"/>
      <c r="G28" s="602"/>
      <c r="H28" s="602"/>
      <c r="I28" s="602"/>
      <c r="J28" s="602"/>
      <c r="K28" s="602"/>
      <c r="L28" s="602"/>
      <c r="M28" s="602"/>
      <c r="N28" s="602"/>
      <c r="O28" s="602"/>
      <c r="P28" s="602"/>
    </row>
    <row r="29" spans="1:16" ht="15" customHeight="1" x14ac:dyDescent="0.25">
      <c r="A29" s="247">
        <v>4.2699999999999996</v>
      </c>
      <c r="B29" s="246">
        <v>42823</v>
      </c>
      <c r="C29" s="247"/>
      <c r="D29" s="601" t="s">
        <v>633</v>
      </c>
      <c r="E29" s="602"/>
      <c r="F29" s="602"/>
      <c r="G29" s="602"/>
      <c r="H29" s="602"/>
      <c r="I29" s="602"/>
      <c r="J29" s="602"/>
      <c r="K29" s="602"/>
      <c r="L29" s="602"/>
      <c r="M29" s="602"/>
      <c r="N29" s="602"/>
      <c r="O29" s="602"/>
      <c r="P29" s="602"/>
    </row>
    <row r="30" spans="1:16" x14ac:dyDescent="0.25">
      <c r="A30" s="247">
        <v>4.28</v>
      </c>
      <c r="B30" s="416">
        <v>42923</v>
      </c>
      <c r="C30" s="417"/>
      <c r="D30" s="611" t="s">
        <v>634</v>
      </c>
      <c r="E30" s="612"/>
      <c r="F30" s="612"/>
      <c r="G30" s="612"/>
      <c r="H30" s="612"/>
      <c r="I30" s="612"/>
      <c r="J30" s="612"/>
      <c r="K30" s="612"/>
      <c r="L30" s="612"/>
      <c r="M30" s="612"/>
      <c r="N30" s="612"/>
      <c r="O30" s="612"/>
      <c r="P30" s="612"/>
    </row>
    <row r="31" spans="1:16" x14ac:dyDescent="0.25">
      <c r="A31" s="247">
        <v>4.29</v>
      </c>
      <c r="B31" s="246">
        <v>43003</v>
      </c>
      <c r="C31" s="247"/>
      <c r="D31" s="611" t="s">
        <v>635</v>
      </c>
      <c r="E31" s="612"/>
      <c r="F31" s="612"/>
      <c r="G31" s="612"/>
      <c r="H31" s="612"/>
      <c r="I31" s="612"/>
      <c r="J31" s="612"/>
      <c r="K31" s="612"/>
      <c r="L31" s="612"/>
      <c r="M31" s="612"/>
      <c r="N31" s="612"/>
      <c r="O31" s="612"/>
      <c r="P31" s="612"/>
    </row>
    <row r="32" spans="1:16" x14ac:dyDescent="0.25">
      <c r="A32" s="418" t="s">
        <v>637</v>
      </c>
      <c r="B32" s="246">
        <v>43082</v>
      </c>
      <c r="C32" s="247"/>
      <c r="D32" s="601" t="s">
        <v>636</v>
      </c>
      <c r="E32" s="602"/>
      <c r="F32" s="602"/>
      <c r="G32" s="602"/>
      <c r="H32" s="602"/>
      <c r="I32" s="602"/>
      <c r="J32" s="602"/>
      <c r="K32" s="602"/>
      <c r="L32" s="602"/>
      <c r="M32" s="602"/>
      <c r="N32" s="602"/>
      <c r="O32" s="602"/>
      <c r="P32" s="602"/>
    </row>
    <row r="33" spans="1:16" x14ac:dyDescent="0.25">
      <c r="A33" s="247">
        <v>4.3099999999999996</v>
      </c>
      <c r="B33" s="246">
        <v>43179</v>
      </c>
      <c r="C33" s="247"/>
      <c r="D33" s="601" t="s">
        <v>638</v>
      </c>
      <c r="E33" s="602"/>
      <c r="F33" s="602"/>
      <c r="G33" s="602"/>
      <c r="H33" s="602"/>
      <c r="I33" s="602"/>
      <c r="J33" s="602"/>
      <c r="K33" s="602"/>
      <c r="L33" s="602"/>
      <c r="M33" s="602"/>
      <c r="N33" s="602"/>
      <c r="O33" s="602"/>
      <c r="P33" s="602"/>
    </row>
    <row r="34" spans="1:16" x14ac:dyDescent="0.25">
      <c r="A34" s="247">
        <v>4.32</v>
      </c>
      <c r="B34" s="246">
        <v>43256</v>
      </c>
      <c r="C34" s="247"/>
      <c r="D34" s="601" t="s">
        <v>639</v>
      </c>
      <c r="E34" s="602"/>
      <c r="F34" s="602"/>
      <c r="G34" s="602"/>
      <c r="H34" s="602"/>
      <c r="I34" s="602"/>
      <c r="J34" s="602"/>
      <c r="K34" s="602"/>
      <c r="L34" s="602"/>
      <c r="M34" s="602"/>
      <c r="N34" s="602"/>
      <c r="O34" s="602"/>
      <c r="P34" s="602"/>
    </row>
    <row r="35" spans="1:16" x14ac:dyDescent="0.25">
      <c r="A35" s="247">
        <v>4.33</v>
      </c>
      <c r="B35" s="246">
        <v>43368</v>
      </c>
      <c r="C35" s="247"/>
      <c r="D35" s="601" t="s">
        <v>640</v>
      </c>
      <c r="E35" s="602"/>
      <c r="F35" s="602"/>
      <c r="G35" s="602"/>
      <c r="H35" s="602"/>
      <c r="I35" s="602"/>
      <c r="J35" s="602"/>
      <c r="K35" s="602"/>
      <c r="L35" s="602"/>
      <c r="M35" s="602"/>
      <c r="N35" s="602"/>
      <c r="O35" s="602"/>
      <c r="P35" s="602"/>
    </row>
    <row r="36" spans="1:16" x14ac:dyDescent="0.25">
      <c r="A36" s="247">
        <v>4.34</v>
      </c>
      <c r="B36" s="246">
        <v>43451</v>
      </c>
      <c r="C36" s="247"/>
      <c r="D36" s="586" t="s">
        <v>641</v>
      </c>
      <c r="E36" s="587"/>
      <c r="F36" s="587"/>
      <c r="G36" s="587"/>
      <c r="H36" s="587"/>
      <c r="I36" s="587"/>
      <c r="J36" s="587"/>
      <c r="K36" s="587"/>
      <c r="L36" s="587"/>
      <c r="M36" s="587"/>
      <c r="N36" s="587"/>
      <c r="O36" s="587"/>
      <c r="P36" s="587"/>
    </row>
    <row r="37" spans="1:16" x14ac:dyDescent="0.25">
      <c r="A37" s="247">
        <v>4.3499999999999996</v>
      </c>
      <c r="B37" s="246">
        <v>43549</v>
      </c>
      <c r="C37" s="247"/>
      <c r="D37" s="586" t="s">
        <v>641</v>
      </c>
      <c r="E37" s="587"/>
      <c r="F37" s="587"/>
      <c r="G37" s="587"/>
      <c r="H37" s="587"/>
      <c r="I37" s="587"/>
      <c r="J37" s="587"/>
      <c r="K37" s="587"/>
      <c r="L37" s="587"/>
      <c r="M37" s="587"/>
      <c r="N37" s="587"/>
      <c r="O37" s="587"/>
      <c r="P37" s="587"/>
    </row>
    <row r="38" spans="1:16" x14ac:dyDescent="0.25">
      <c r="A38" s="247">
        <v>4.3600000000000003</v>
      </c>
      <c r="B38" s="246">
        <v>43661</v>
      </c>
      <c r="C38" s="247"/>
      <c r="D38" s="586" t="s">
        <v>641</v>
      </c>
      <c r="E38" s="587"/>
      <c r="F38" s="587"/>
      <c r="G38" s="587"/>
      <c r="H38" s="587"/>
      <c r="I38" s="587"/>
      <c r="J38" s="587"/>
      <c r="K38" s="587"/>
      <c r="L38" s="587"/>
      <c r="M38" s="587"/>
      <c r="N38" s="587"/>
      <c r="O38" s="587"/>
      <c r="P38" s="587"/>
    </row>
    <row r="39" spans="1:16" x14ac:dyDescent="0.25">
      <c r="A39" s="247">
        <v>4.37</v>
      </c>
      <c r="B39" s="246">
        <v>44062</v>
      </c>
      <c r="C39" s="247"/>
      <c r="D39" s="586" t="s">
        <v>641</v>
      </c>
      <c r="E39" s="587"/>
      <c r="F39" s="587"/>
      <c r="G39" s="587"/>
      <c r="H39" s="587"/>
      <c r="I39" s="587"/>
      <c r="J39" s="587"/>
      <c r="K39" s="587"/>
      <c r="L39" s="587"/>
      <c r="M39" s="587"/>
      <c r="N39" s="587"/>
      <c r="O39" s="587"/>
      <c r="P39" s="587"/>
    </row>
    <row r="40" spans="1:16" x14ac:dyDescent="0.25">
      <c r="A40" s="247">
        <v>4.38</v>
      </c>
      <c r="B40" s="246">
        <v>44141</v>
      </c>
      <c r="C40" s="247"/>
      <c r="D40" s="586" t="s">
        <v>641</v>
      </c>
      <c r="E40" s="587"/>
      <c r="F40" s="587"/>
      <c r="G40" s="587"/>
      <c r="H40" s="587"/>
      <c r="I40" s="587"/>
      <c r="J40" s="587"/>
      <c r="K40" s="587"/>
      <c r="L40" s="587"/>
      <c r="M40" s="587"/>
      <c r="N40" s="587"/>
      <c r="O40" s="587"/>
      <c r="P40" s="587"/>
    </row>
    <row r="41" spans="1:16" x14ac:dyDescent="0.25">
      <c r="A41" s="247">
        <v>4.3899999999999997</v>
      </c>
      <c r="B41" s="246">
        <v>44228</v>
      </c>
      <c r="C41" s="247"/>
      <c r="D41" s="586" t="s">
        <v>641</v>
      </c>
      <c r="E41" s="587"/>
      <c r="F41" s="587"/>
      <c r="G41" s="587"/>
      <c r="H41" s="587"/>
      <c r="I41" s="587"/>
      <c r="J41" s="587"/>
      <c r="K41" s="587"/>
      <c r="L41" s="587"/>
      <c r="M41" s="587"/>
      <c r="N41" s="587"/>
      <c r="O41" s="587"/>
      <c r="P41" s="587"/>
    </row>
    <row r="42" spans="1:16" x14ac:dyDescent="0.25">
      <c r="A42" s="247">
        <v>4.4000000000000004</v>
      </c>
      <c r="B42" s="246">
        <v>44231</v>
      </c>
      <c r="C42" s="247"/>
      <c r="D42" s="586" t="s">
        <v>641</v>
      </c>
      <c r="E42" s="587"/>
      <c r="F42" s="587"/>
      <c r="G42" s="587"/>
      <c r="H42" s="587"/>
      <c r="I42" s="587"/>
      <c r="J42" s="587"/>
      <c r="K42" s="587"/>
      <c r="L42" s="587"/>
      <c r="M42" s="587"/>
      <c r="N42" s="587"/>
      <c r="O42" s="587"/>
      <c r="P42" s="587"/>
    </row>
    <row r="43" spans="1:16" x14ac:dyDescent="0.25">
      <c r="A43" s="247">
        <v>4.41</v>
      </c>
      <c r="B43" s="246">
        <v>44377</v>
      </c>
      <c r="C43" s="247"/>
      <c r="D43" s="586" t="s">
        <v>641</v>
      </c>
      <c r="E43" s="587"/>
      <c r="F43" s="587"/>
      <c r="G43" s="587"/>
      <c r="H43" s="587"/>
      <c r="I43" s="587"/>
      <c r="J43" s="587"/>
      <c r="K43" s="587"/>
      <c r="L43" s="587"/>
      <c r="M43" s="587"/>
      <c r="N43" s="587"/>
      <c r="O43" s="587"/>
      <c r="P43" s="587"/>
    </row>
    <row r="44" spans="1:16" x14ac:dyDescent="0.25">
      <c r="A44" s="247">
        <v>4.42</v>
      </c>
      <c r="B44" s="246">
        <v>44463</v>
      </c>
      <c r="C44" s="247"/>
      <c r="D44" s="586" t="s">
        <v>641</v>
      </c>
      <c r="E44" s="587"/>
      <c r="F44" s="587"/>
      <c r="G44" s="587"/>
      <c r="H44" s="587"/>
      <c r="I44" s="587"/>
      <c r="J44" s="587"/>
      <c r="K44" s="587"/>
      <c r="L44" s="587"/>
      <c r="M44" s="587"/>
      <c r="N44" s="587"/>
      <c r="O44" s="587"/>
      <c r="P44" s="587"/>
    </row>
    <row r="45" spans="1:16" x14ac:dyDescent="0.25">
      <c r="A45" s="247">
        <v>4.43</v>
      </c>
      <c r="B45" s="246">
        <v>44582</v>
      </c>
      <c r="C45" s="247"/>
      <c r="D45" s="586" t="s">
        <v>641</v>
      </c>
      <c r="E45" s="587"/>
      <c r="F45" s="587"/>
      <c r="G45" s="587"/>
      <c r="H45" s="587"/>
      <c r="I45" s="587"/>
      <c r="J45" s="587"/>
      <c r="K45" s="587"/>
      <c r="L45" s="587"/>
      <c r="M45" s="587"/>
      <c r="N45" s="587"/>
      <c r="O45" s="587"/>
      <c r="P45" s="587"/>
    </row>
    <row r="46" spans="1:16" x14ac:dyDescent="0.25">
      <c r="A46" s="247">
        <v>4.4400000000000004</v>
      </c>
      <c r="B46" s="246">
        <v>44637</v>
      </c>
      <c r="C46" s="247"/>
      <c r="D46" s="586" t="s">
        <v>641</v>
      </c>
      <c r="E46" s="587"/>
      <c r="F46" s="587"/>
      <c r="G46" s="587"/>
      <c r="H46" s="587"/>
      <c r="I46" s="587"/>
      <c r="J46" s="587"/>
      <c r="K46" s="587"/>
      <c r="L46" s="587"/>
      <c r="M46" s="587"/>
      <c r="N46" s="587"/>
      <c r="O46" s="587"/>
      <c r="P46" s="587"/>
    </row>
    <row r="47" spans="1:16" ht="12.75" customHeight="1" x14ac:dyDescent="0.25">
      <c r="A47" s="247">
        <v>4.45</v>
      </c>
      <c r="B47" s="246">
        <v>44743</v>
      </c>
      <c r="C47" s="247"/>
      <c r="D47" s="608" t="s">
        <v>641</v>
      </c>
      <c r="E47" s="609"/>
      <c r="F47" s="609"/>
      <c r="G47" s="609"/>
      <c r="H47" s="609"/>
      <c r="I47" s="609"/>
      <c r="J47" s="609"/>
      <c r="K47" s="609"/>
      <c r="L47" s="609"/>
      <c r="M47" s="609"/>
      <c r="N47" s="609"/>
      <c r="O47" s="609"/>
      <c r="P47" s="610"/>
    </row>
    <row r="48" spans="1:16" x14ac:dyDescent="0.25">
      <c r="A48" s="247">
        <v>4.46</v>
      </c>
      <c r="B48" s="246">
        <v>44839</v>
      </c>
      <c r="C48" s="247"/>
      <c r="D48" s="586" t="s">
        <v>641</v>
      </c>
      <c r="E48" s="587"/>
      <c r="F48" s="587"/>
      <c r="G48" s="587"/>
      <c r="H48" s="587"/>
      <c r="I48" s="587"/>
      <c r="J48" s="587"/>
      <c r="K48" s="587"/>
      <c r="L48" s="587"/>
      <c r="M48" s="587"/>
      <c r="N48" s="587"/>
      <c r="O48" s="587"/>
      <c r="P48" s="587"/>
    </row>
    <row r="49" spans="1:16" x14ac:dyDescent="0.25">
      <c r="A49" s="247">
        <v>4.47</v>
      </c>
      <c r="B49" s="246">
        <v>44904</v>
      </c>
      <c r="C49" s="247"/>
      <c r="D49" s="586" t="s">
        <v>641</v>
      </c>
      <c r="E49" s="587"/>
      <c r="F49" s="587"/>
      <c r="G49" s="587"/>
      <c r="H49" s="587"/>
      <c r="I49" s="587"/>
      <c r="J49" s="587"/>
      <c r="K49" s="587"/>
      <c r="L49" s="587"/>
      <c r="M49" s="587"/>
      <c r="N49" s="587"/>
      <c r="O49" s="587"/>
      <c r="P49" s="587"/>
    </row>
    <row r="50" spans="1:16" x14ac:dyDescent="0.25">
      <c r="A50" s="247">
        <v>4.4800000000000004</v>
      </c>
      <c r="B50" s="246">
        <v>44977</v>
      </c>
      <c r="C50" s="247"/>
      <c r="D50" s="586" t="s">
        <v>641</v>
      </c>
      <c r="E50" s="587"/>
      <c r="F50" s="587"/>
      <c r="G50" s="587"/>
      <c r="H50" s="587"/>
      <c r="I50" s="587"/>
      <c r="J50" s="587"/>
      <c r="K50" s="587"/>
      <c r="L50" s="587"/>
      <c r="M50" s="587"/>
      <c r="N50" s="587"/>
      <c r="O50" s="587"/>
      <c r="P50" s="587"/>
    </row>
    <row r="51" spans="1:16" x14ac:dyDescent="0.25">
      <c r="A51" s="247">
        <v>4.49</v>
      </c>
      <c r="B51" s="246">
        <v>45076</v>
      </c>
      <c r="C51" s="247"/>
      <c r="D51" s="586" t="s">
        <v>641</v>
      </c>
      <c r="E51" s="587"/>
      <c r="F51" s="587"/>
      <c r="G51" s="587"/>
      <c r="H51" s="587"/>
      <c r="I51" s="587"/>
      <c r="J51" s="587"/>
      <c r="K51" s="587"/>
      <c r="L51" s="587"/>
      <c r="M51" s="587"/>
      <c r="N51" s="587"/>
      <c r="O51" s="587"/>
      <c r="P51" s="587"/>
    </row>
    <row r="52" spans="1:16" x14ac:dyDescent="0.25">
      <c r="A52" s="428" t="s">
        <v>644</v>
      </c>
      <c r="B52" s="246">
        <v>45142</v>
      </c>
      <c r="C52" s="247"/>
      <c r="D52" s="586" t="s">
        <v>641</v>
      </c>
      <c r="E52" s="587"/>
      <c r="F52" s="587"/>
      <c r="G52" s="587"/>
      <c r="H52" s="587"/>
      <c r="I52" s="587"/>
      <c r="J52" s="587"/>
      <c r="K52" s="587"/>
      <c r="L52" s="587"/>
      <c r="M52" s="587"/>
      <c r="N52" s="587"/>
      <c r="O52" s="587"/>
      <c r="P52" s="587"/>
    </row>
    <row r="53" spans="1:16" x14ac:dyDescent="0.25">
      <c r="A53" s="247">
        <v>4.51</v>
      </c>
      <c r="B53" s="246">
        <v>45337</v>
      </c>
      <c r="C53" s="247"/>
      <c r="D53" s="586" t="s">
        <v>641</v>
      </c>
      <c r="E53" s="587"/>
      <c r="F53" s="587"/>
      <c r="G53" s="587"/>
      <c r="H53" s="587"/>
      <c r="I53" s="587"/>
      <c r="J53" s="587"/>
      <c r="K53" s="587"/>
      <c r="L53" s="587"/>
      <c r="M53" s="587"/>
      <c r="N53" s="587"/>
      <c r="O53" s="587"/>
      <c r="P53" s="587"/>
    </row>
    <row r="54" spans="1:16" x14ac:dyDescent="0.25">
      <c r="A54" s="247">
        <v>4.5199999999999996</v>
      </c>
      <c r="B54" s="246">
        <v>45527</v>
      </c>
      <c r="C54" s="247"/>
      <c r="D54" s="586" t="s">
        <v>645</v>
      </c>
      <c r="E54" s="587"/>
      <c r="F54" s="587"/>
      <c r="G54" s="587"/>
      <c r="H54" s="587"/>
      <c r="I54" s="587"/>
      <c r="J54" s="587"/>
      <c r="K54" s="587"/>
      <c r="L54" s="587"/>
      <c r="M54" s="587"/>
      <c r="N54" s="587"/>
      <c r="O54" s="587"/>
      <c r="P54" s="587"/>
    </row>
    <row r="55" spans="1:16" x14ac:dyDescent="0.25">
      <c r="A55" s="247"/>
      <c r="B55" s="246"/>
      <c r="C55" s="247"/>
      <c r="D55" s="586"/>
      <c r="E55" s="587"/>
      <c r="F55" s="587"/>
      <c r="G55" s="587"/>
      <c r="H55" s="587"/>
      <c r="I55" s="587"/>
      <c r="J55" s="587"/>
      <c r="K55" s="587"/>
      <c r="L55" s="587"/>
      <c r="M55" s="587"/>
      <c r="N55" s="587"/>
      <c r="O55" s="587"/>
      <c r="P55" s="587"/>
    </row>
    <row r="56" spans="1:16" x14ac:dyDescent="0.25">
      <c r="A56" s="247"/>
      <c r="B56" s="246"/>
      <c r="C56" s="247"/>
      <c r="D56" s="586"/>
      <c r="E56" s="587"/>
      <c r="F56" s="587"/>
      <c r="G56" s="587"/>
      <c r="H56" s="587"/>
      <c r="I56" s="587"/>
      <c r="J56" s="587"/>
      <c r="K56" s="587"/>
      <c r="L56" s="587"/>
      <c r="M56" s="587"/>
      <c r="N56" s="587"/>
      <c r="O56" s="587"/>
      <c r="P56" s="587"/>
    </row>
    <row r="57" spans="1:16" x14ac:dyDescent="0.25">
      <c r="A57" s="247"/>
      <c r="B57" s="246"/>
      <c r="C57" s="247"/>
      <c r="D57" s="586"/>
      <c r="E57" s="587"/>
      <c r="F57" s="587"/>
      <c r="G57" s="587"/>
      <c r="H57" s="587"/>
      <c r="I57" s="587"/>
      <c r="J57" s="587"/>
      <c r="K57" s="587"/>
      <c r="L57" s="587"/>
      <c r="M57" s="587"/>
      <c r="N57" s="587"/>
      <c r="O57" s="587"/>
      <c r="P57" s="587"/>
    </row>
    <row r="58" spans="1:16" x14ac:dyDescent="0.25">
      <c r="A58" s="247"/>
      <c r="B58" s="246"/>
      <c r="C58" s="247"/>
      <c r="D58" s="586"/>
      <c r="E58" s="587"/>
      <c r="F58" s="587"/>
      <c r="G58" s="587"/>
      <c r="H58" s="587"/>
      <c r="I58" s="587"/>
      <c r="J58" s="587"/>
      <c r="K58" s="587"/>
      <c r="L58" s="587"/>
      <c r="M58" s="587"/>
      <c r="N58" s="587"/>
      <c r="O58" s="587"/>
      <c r="P58" s="587"/>
    </row>
  </sheetData>
  <mergeCells count="58">
    <mergeCell ref="D58:P58"/>
    <mergeCell ref="D47:P47"/>
    <mergeCell ref="D46:P46"/>
    <mergeCell ref="D29:P29"/>
    <mergeCell ref="D36:P36"/>
    <mergeCell ref="D31:P31"/>
    <mergeCell ref="D32:P32"/>
    <mergeCell ref="D33:P33"/>
    <mergeCell ref="D34:P34"/>
    <mergeCell ref="D35:P35"/>
    <mergeCell ref="D30:P30"/>
    <mergeCell ref="D42:P42"/>
    <mergeCell ref="D43:P43"/>
    <mergeCell ref="D44:P44"/>
    <mergeCell ref="D45:P45"/>
    <mergeCell ref="D37:P37"/>
    <mergeCell ref="D12:P12"/>
    <mergeCell ref="D20:P20"/>
    <mergeCell ref="D27:P27"/>
    <mergeCell ref="D22:P22"/>
    <mergeCell ref="D28:P28"/>
    <mergeCell ref="D18:P18"/>
    <mergeCell ref="D19:P19"/>
    <mergeCell ref="D26:P26"/>
    <mergeCell ref="D24:P24"/>
    <mergeCell ref="D23:P23"/>
    <mergeCell ref="D25:P25"/>
    <mergeCell ref="D21:P21"/>
    <mergeCell ref="D1:P1"/>
    <mergeCell ref="D6:P6"/>
    <mergeCell ref="D17:P17"/>
    <mergeCell ref="D2:P2"/>
    <mergeCell ref="D4:P4"/>
    <mergeCell ref="D5:P5"/>
    <mergeCell ref="D13:P13"/>
    <mergeCell ref="D15:P15"/>
    <mergeCell ref="D3:P3"/>
    <mergeCell ref="D11:P11"/>
    <mergeCell ref="D9:P9"/>
    <mergeCell ref="D7:P7"/>
    <mergeCell ref="D14:P14"/>
    <mergeCell ref="D10:P10"/>
    <mergeCell ref="D8:P8"/>
    <mergeCell ref="D16:P16"/>
    <mergeCell ref="D49:P49"/>
    <mergeCell ref="D50:P50"/>
    <mergeCell ref="D51:P51"/>
    <mergeCell ref="D57:P57"/>
    <mergeCell ref="D38:P38"/>
    <mergeCell ref="D39:P39"/>
    <mergeCell ref="D40:P40"/>
    <mergeCell ref="D41:P41"/>
    <mergeCell ref="D48:P48"/>
    <mergeCell ref="D52:P52"/>
    <mergeCell ref="D53:P53"/>
    <mergeCell ref="D54:P54"/>
    <mergeCell ref="D55:P55"/>
    <mergeCell ref="D56:P56"/>
  </mergeCells>
  <phoneticPr fontId="4" type="noConversion"/>
  <pageMargins left="0.75" right="0.75" top="1" bottom="1" header="0.5" footer="0.5"/>
  <pageSetup paperSize="9" scale="8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43"/>
  <sheetViews>
    <sheetView zoomScale="75" workbookViewId="0">
      <selection activeCell="D14" sqref="D14"/>
    </sheetView>
  </sheetViews>
  <sheetFormatPr defaultColWidth="9.109375" defaultRowHeight="13.8" x14ac:dyDescent="0.25"/>
  <cols>
    <col min="1" max="1" width="3.44140625" style="117" customWidth="1"/>
    <col min="2" max="3" width="9.33203125" style="117" customWidth="1"/>
    <col min="4" max="4" width="10.5546875" style="117" customWidth="1"/>
    <col min="5" max="5" width="36" style="117" customWidth="1"/>
    <col min="6" max="8" width="17.88671875" style="117" customWidth="1"/>
    <col min="9" max="10" width="16" style="117" customWidth="1"/>
    <col min="11" max="11" width="5.109375" style="117" customWidth="1"/>
    <col min="12" max="12" width="10.44140625" style="117" customWidth="1"/>
    <col min="13" max="16" width="16" style="117" customWidth="1"/>
    <col min="17" max="17" width="16.33203125" style="117" customWidth="1"/>
    <col min="18" max="18" width="11.33203125" style="117" customWidth="1"/>
    <col min="19" max="19" width="16.44140625" style="117" customWidth="1"/>
    <col min="20" max="20" width="11.33203125" style="117" customWidth="1"/>
    <col min="21" max="21" width="7" style="117" customWidth="1"/>
    <col min="22" max="22" width="8.109375" style="117" customWidth="1"/>
    <col min="23" max="23" width="5.88671875" style="117" customWidth="1"/>
    <col min="24" max="24" width="6.33203125" style="117" customWidth="1"/>
    <col min="25" max="16384" width="9.109375" style="117"/>
  </cols>
  <sheetData>
    <row r="1" spans="1:12" ht="15" customHeight="1" x14ac:dyDescent="0.3">
      <c r="A1" s="251" t="s">
        <v>447</v>
      </c>
    </row>
    <row r="2" spans="1:12" ht="25.5" customHeight="1" x14ac:dyDescent="0.25">
      <c r="B2" s="397" t="str">
        <f>"COT "&amp;Welcome!B7</f>
        <v>COT Version 4.52</v>
      </c>
    </row>
    <row r="3" spans="1:12" ht="15" customHeight="1" x14ac:dyDescent="0.25">
      <c r="A3" s="117">
        <v>1</v>
      </c>
      <c r="B3" s="118" t="s">
        <v>278</v>
      </c>
      <c r="C3" s="118"/>
    </row>
    <row r="4" spans="1:12" ht="18" customHeight="1" x14ac:dyDescent="0.25">
      <c r="B4" s="430" t="s">
        <v>88</v>
      </c>
      <c r="C4" s="431"/>
      <c r="D4" s="432"/>
      <c r="E4" s="430" t="s">
        <v>278</v>
      </c>
      <c r="F4" s="431"/>
      <c r="G4" s="431"/>
      <c r="H4" s="431"/>
      <c r="I4" s="431"/>
      <c r="J4" s="432"/>
    </row>
    <row r="5" spans="1:12" ht="18" customHeight="1" x14ac:dyDescent="0.25">
      <c r="B5" s="29" t="s">
        <v>282</v>
      </c>
      <c r="C5" s="57"/>
      <c r="D5" s="30"/>
      <c r="E5" s="433"/>
      <c r="F5" s="434"/>
      <c r="G5" s="434"/>
      <c r="H5" s="434"/>
      <c r="I5" s="434"/>
      <c r="J5" s="435"/>
    </row>
    <row r="6" spans="1:12" ht="18" customHeight="1" x14ac:dyDescent="0.25">
      <c r="B6" s="31" t="s">
        <v>281</v>
      </c>
      <c r="C6" s="58"/>
      <c r="D6" s="32"/>
      <c r="E6" s="433"/>
      <c r="F6" s="434"/>
      <c r="G6" s="434"/>
      <c r="H6" s="434"/>
      <c r="I6" s="434"/>
      <c r="J6" s="435"/>
      <c r="K6" s="119"/>
    </row>
    <row r="7" spans="1:12" ht="18" customHeight="1" x14ac:dyDescent="0.25">
      <c r="B7" s="31" t="s">
        <v>279</v>
      </c>
      <c r="C7" s="58"/>
      <c r="D7" s="32"/>
      <c r="E7" s="436" t="s">
        <v>595</v>
      </c>
      <c r="F7" s="434"/>
      <c r="G7" s="434"/>
      <c r="H7" s="434"/>
      <c r="I7" s="434"/>
      <c r="J7" s="435"/>
      <c r="K7" s="119"/>
    </row>
    <row r="8" spans="1:12" ht="18" customHeight="1" x14ac:dyDescent="0.25">
      <c r="B8" s="33" t="s">
        <v>280</v>
      </c>
      <c r="C8" s="43"/>
      <c r="D8" s="34"/>
      <c r="E8" s="433"/>
      <c r="F8" s="434"/>
      <c r="G8" s="434"/>
      <c r="H8" s="434"/>
      <c r="I8" s="434"/>
      <c r="J8" s="435"/>
    </row>
    <row r="9" spans="1:12" ht="18" customHeight="1" x14ac:dyDescent="0.25">
      <c r="B9" s="33" t="s">
        <v>284</v>
      </c>
      <c r="C9" s="43"/>
      <c r="D9" s="34"/>
      <c r="E9" s="433"/>
      <c r="F9" s="434"/>
      <c r="G9" s="434"/>
      <c r="H9" s="434"/>
      <c r="I9" s="434"/>
      <c r="J9" s="435"/>
      <c r="K9" s="120"/>
    </row>
    <row r="10" spans="1:12" ht="18" customHeight="1" x14ac:dyDescent="0.25">
      <c r="B10" s="33" t="s">
        <v>283</v>
      </c>
      <c r="C10" s="43"/>
      <c r="D10" s="34"/>
      <c r="E10" s="433"/>
      <c r="F10" s="434"/>
      <c r="G10" s="434"/>
      <c r="H10" s="434"/>
      <c r="I10" s="434"/>
      <c r="J10" s="435"/>
      <c r="K10" s="120"/>
      <c r="L10" s="121"/>
    </row>
    <row r="11" spans="1:12" ht="15" customHeight="1" x14ac:dyDescent="0.25"/>
    <row r="12" spans="1:12" ht="15" customHeight="1" x14ac:dyDescent="0.25">
      <c r="A12" s="117">
        <v>2</v>
      </c>
      <c r="B12" s="118" t="s">
        <v>286</v>
      </c>
      <c r="F12" s="137" t="s">
        <v>0</v>
      </c>
      <c r="G12" s="298"/>
      <c r="H12" s="298"/>
    </row>
    <row r="13" spans="1:12" ht="15" customHeight="1" x14ac:dyDescent="0.25">
      <c r="B13" s="439" t="s">
        <v>88</v>
      </c>
      <c r="C13" s="440"/>
      <c r="D13" s="59" t="s">
        <v>293</v>
      </c>
      <c r="F13" s="83" t="s">
        <v>327</v>
      </c>
      <c r="G13" s="83" t="s">
        <v>293</v>
      </c>
      <c r="H13" s="83" t="s">
        <v>604</v>
      </c>
    </row>
    <row r="14" spans="1:12" ht="15" customHeight="1" x14ac:dyDescent="0.25">
      <c r="B14" s="441" t="s">
        <v>642</v>
      </c>
      <c r="C14" s="442"/>
      <c r="D14" s="425">
        <v>45627</v>
      </c>
      <c r="F14" s="367" t="str">
        <f>+IF($D$16/'June 2009 Summary'!$D$15&lt;Summary!$D$17/'June 2009 Summary'!$D$16,Summary!$B$16,Summary!$B$17)</f>
        <v>RBCI</v>
      </c>
      <c r="G14" s="367">
        <f>+VLOOKUP(F14,B16:D17,3)</f>
        <v>141.1</v>
      </c>
      <c r="H14" s="368">
        <f>+VLOOKUP(F14,B16:D17,3)/VLOOKUP(F14,'June 2009 Summary'!B15:D16,3)</f>
        <v>1.482142857142857</v>
      </c>
    </row>
    <row r="15" spans="1:12" ht="15" customHeight="1" x14ac:dyDescent="0.25">
      <c r="B15" s="441" t="s">
        <v>643</v>
      </c>
      <c r="C15" s="442"/>
      <c r="D15" s="425">
        <v>45444</v>
      </c>
    </row>
    <row r="16" spans="1:12" ht="15" customHeight="1" x14ac:dyDescent="0.25">
      <c r="B16" s="437" t="s">
        <v>105</v>
      </c>
      <c r="C16" s="438"/>
      <c r="D16" s="426">
        <v>140.6</v>
      </c>
    </row>
    <row r="17" spans="1:26" ht="15" customHeight="1" x14ac:dyDescent="0.25">
      <c r="B17" s="443" t="s">
        <v>287</v>
      </c>
      <c r="C17" s="444"/>
      <c r="D17" s="427">
        <v>141.1</v>
      </c>
    </row>
    <row r="18" spans="1:26" ht="15" customHeight="1" x14ac:dyDescent="0.25">
      <c r="B18" s="284"/>
    </row>
    <row r="19" spans="1:26" ht="15" customHeight="1" x14ac:dyDescent="0.25">
      <c r="B19" s="122"/>
    </row>
    <row r="20" spans="1:26" s="120" customFormat="1" ht="15" customHeight="1" x14ac:dyDescent="0.25">
      <c r="A20" s="120">
        <v>3</v>
      </c>
      <c r="B20" s="123" t="s">
        <v>285</v>
      </c>
      <c r="C20" s="123"/>
      <c r="D20" s="124"/>
      <c r="E20" s="124"/>
      <c r="F20" s="125"/>
      <c r="G20" s="125"/>
      <c r="H20" s="125"/>
      <c r="I20" s="124"/>
      <c r="J20" s="125"/>
      <c r="L20" s="121"/>
    </row>
    <row r="21" spans="1:26" s="120" customFormat="1" ht="15" customHeight="1" x14ac:dyDescent="0.25">
      <c r="B21" s="447" t="s">
        <v>285</v>
      </c>
      <c r="C21" s="448"/>
      <c r="D21" s="448"/>
      <c r="E21" s="449"/>
      <c r="F21" s="293" t="s">
        <v>591</v>
      </c>
      <c r="G21" s="295" t="s">
        <v>592</v>
      </c>
      <c r="H21" s="452" t="s">
        <v>593</v>
      </c>
      <c r="I21" s="453"/>
      <c r="J21" s="93" t="s">
        <v>441</v>
      </c>
      <c r="L21" s="121"/>
      <c r="T21" s="126"/>
    </row>
    <row r="22" spans="1:26" s="120" customFormat="1" ht="15.75" customHeight="1" x14ac:dyDescent="0.25">
      <c r="B22" s="445" t="str">
        <f>+Sewer!A1</f>
        <v>Developer contributions towards the cost of sewer headworks</v>
      </c>
      <c r="C22" s="446"/>
      <c r="D22" s="446"/>
      <c r="E22" s="446"/>
      <c r="F22" s="356"/>
      <c r="G22" s="356"/>
      <c r="H22" s="408"/>
      <c r="I22" s="419"/>
      <c r="J22" s="54"/>
      <c r="K22" s="126"/>
      <c r="L22" s="121"/>
      <c r="T22" s="126"/>
    </row>
    <row r="23" spans="1:26" s="120" customFormat="1" ht="15" customHeight="1" x14ac:dyDescent="0.25">
      <c r="A23" s="124"/>
      <c r="B23" s="41"/>
      <c r="C23" s="42" t="str">
        <f>+Sewer!B48</f>
        <v>Trunk sewers &amp; pump systems (Hs)</v>
      </c>
      <c r="D23" s="53"/>
      <c r="E23" s="42"/>
      <c r="F23" s="400">
        <f>+ROUND($H$14*'June 2009 Summary'!F22,0)</f>
        <v>0</v>
      </c>
      <c r="G23" s="400" t="str">
        <f>+'June 2009 Summary'!G22</f>
        <v>N/A</v>
      </c>
      <c r="H23" s="409">
        <f>+ROUND(F23,0)</f>
        <v>0</v>
      </c>
      <c r="I23" s="420">
        <f>+$D$14</f>
        <v>45627</v>
      </c>
      <c r="J23" s="55" t="s">
        <v>313</v>
      </c>
      <c r="K23" s="127"/>
      <c r="T23" s="126"/>
    </row>
    <row r="24" spans="1:26" s="120" customFormat="1" ht="15" customHeight="1" x14ac:dyDescent="0.25">
      <c r="A24" s="124"/>
      <c r="B24" s="33"/>
      <c r="C24" s="43" t="str">
        <f>+Sewer!B50</f>
        <v>Treatment plants &amp; outfalls (Ht)</v>
      </c>
      <c r="D24" s="53"/>
      <c r="E24" s="43"/>
      <c r="F24" s="402">
        <f>+ROUND($H$14*'June 2009 Summary'!F23,0)</f>
        <v>0</v>
      </c>
      <c r="G24" s="402" t="str">
        <f>+'June 2009 Summary'!G23</f>
        <v>N/A</v>
      </c>
      <c r="H24" s="410">
        <f t="shared" ref="H24:H31" si="0">+ROUND(F24,0)</f>
        <v>0</v>
      </c>
      <c r="I24" s="421">
        <f t="shared" ref="I24:I39" si="1">+$D$14</f>
        <v>45627</v>
      </c>
      <c r="J24" s="69" t="s">
        <v>314</v>
      </c>
      <c r="K24" s="127"/>
      <c r="T24" s="126"/>
    </row>
    <row r="25" spans="1:26" s="120" customFormat="1" ht="18.75" customHeight="1" x14ac:dyDescent="0.25">
      <c r="A25" s="124"/>
      <c r="B25" s="445" t="str">
        <f>+Water!A1</f>
        <v>Developer contributions towards the cost of water supply headworks</v>
      </c>
      <c r="C25" s="446"/>
      <c r="D25" s="446"/>
      <c r="E25" s="446"/>
      <c r="F25" s="400"/>
      <c r="G25" s="400"/>
      <c r="H25" s="409">
        <f t="shared" si="0"/>
        <v>0</v>
      </c>
      <c r="I25" s="422"/>
      <c r="J25" s="70"/>
      <c r="K25" s="127"/>
      <c r="T25" s="126"/>
    </row>
    <row r="26" spans="1:26" ht="15" customHeight="1" x14ac:dyDescent="0.25">
      <c r="B26" s="44"/>
      <c r="C26" s="45" t="str">
        <f>+Water!B55</f>
        <v>Water Board Works (Hb)</v>
      </c>
      <c r="D26" s="45"/>
      <c r="E26" s="45"/>
      <c r="F26" s="400">
        <f>+ROUND($H$14*'June 2009 Summary'!F25,0)</f>
        <v>0</v>
      </c>
      <c r="G26" s="400" t="str">
        <f>+'June 2009 Summary'!G25</f>
        <v>N/A</v>
      </c>
      <c r="H26" s="409">
        <f t="shared" si="0"/>
        <v>0</v>
      </c>
      <c r="I26" s="422">
        <f t="shared" si="1"/>
        <v>45627</v>
      </c>
      <c r="J26" s="55" t="s">
        <v>322</v>
      </c>
      <c r="K26" s="127"/>
      <c r="T26" s="128"/>
      <c r="V26" s="129"/>
      <c r="X26" s="129"/>
      <c r="Z26" s="129"/>
    </row>
    <row r="27" spans="1:26" ht="15" customHeight="1" x14ac:dyDescent="0.25">
      <c r="B27" s="44"/>
      <c r="C27" s="45" t="str">
        <f>+Water!B57</f>
        <v>Council Reservoirs (Hr)</v>
      </c>
      <c r="D27" s="45"/>
      <c r="E27" s="45"/>
      <c r="F27" s="400">
        <f>+ROUND($H$14*'June 2009 Summary'!F26,0)</f>
        <v>0</v>
      </c>
      <c r="G27" s="400" t="str">
        <f>+'June 2009 Summary'!G26</f>
        <v>N/A</v>
      </c>
      <c r="H27" s="409">
        <f t="shared" si="0"/>
        <v>0</v>
      </c>
      <c r="I27" s="422">
        <f t="shared" si="1"/>
        <v>45627</v>
      </c>
      <c r="J27" s="55" t="s">
        <v>315</v>
      </c>
      <c r="K27" s="127"/>
      <c r="T27" s="128"/>
      <c r="V27" s="129"/>
      <c r="X27" s="129"/>
      <c r="Z27" s="129"/>
    </row>
    <row r="28" spans="1:26" ht="15" customHeight="1" x14ac:dyDescent="0.25">
      <c r="B28" s="44"/>
      <c r="C28" s="45" t="str">
        <f>+Water!B59</f>
        <v>Council Mains (Hm)</v>
      </c>
      <c r="D28" s="45"/>
      <c r="E28" s="45"/>
      <c r="F28" s="400">
        <f>+ROUND($H$14*'June 2009 Summary'!F27,0)</f>
        <v>0</v>
      </c>
      <c r="G28" s="400" t="str">
        <f>+'June 2009 Summary'!G27</f>
        <v>N/A</v>
      </c>
      <c r="H28" s="409">
        <f t="shared" si="0"/>
        <v>0</v>
      </c>
      <c r="I28" s="422">
        <f t="shared" si="1"/>
        <v>45627</v>
      </c>
      <c r="J28" s="55" t="s">
        <v>316</v>
      </c>
      <c r="K28" s="127"/>
      <c r="T28" s="128"/>
      <c r="V28" s="129"/>
      <c r="X28" s="129"/>
      <c r="Z28" s="129"/>
    </row>
    <row r="29" spans="1:26" ht="15" customHeight="1" x14ac:dyDescent="0.25">
      <c r="B29" s="454" t="str">
        <f>+'Open Space'!A1</f>
        <v>Public Garden and Recreation Space</v>
      </c>
      <c r="C29" s="455"/>
      <c r="D29" s="455"/>
      <c r="E29" s="455"/>
      <c r="F29" s="404">
        <f>+ROUND($H$14*'June 2009 Summary'!F28,0)</f>
        <v>0</v>
      </c>
      <c r="G29" s="404" t="str">
        <f>+'June 2009 Summary'!G28</f>
        <v>N/A</v>
      </c>
      <c r="H29" s="411">
        <f t="shared" si="0"/>
        <v>0</v>
      </c>
      <c r="I29" s="423">
        <f t="shared" si="1"/>
        <v>45627</v>
      </c>
      <c r="J29" s="72" t="s">
        <v>312</v>
      </c>
      <c r="K29" s="127"/>
      <c r="T29" s="130"/>
    </row>
    <row r="30" spans="1:26" ht="30" customHeight="1" x14ac:dyDescent="0.25">
      <c r="B30" s="454" t="str">
        <f>+'Car Parking'!A1</f>
        <v>Contributions towards the cost of the provision of off-street car parking spaces</v>
      </c>
      <c r="C30" s="455"/>
      <c r="D30" s="455"/>
      <c r="E30" s="455"/>
      <c r="F30" s="400">
        <f>+ROUND($H$14*'June 2009 Summary'!F29,0)</f>
        <v>0</v>
      </c>
      <c r="G30" s="400" t="str">
        <f>+'June 2009 Summary'!G29</f>
        <v>N/A</v>
      </c>
      <c r="H30" s="409">
        <f t="shared" si="0"/>
        <v>0</v>
      </c>
      <c r="I30" s="422">
        <f t="shared" si="1"/>
        <v>45627</v>
      </c>
      <c r="J30" s="72" t="s">
        <v>319</v>
      </c>
      <c r="K30" s="127"/>
    </row>
    <row r="31" spans="1:26" ht="33" customHeight="1" x14ac:dyDescent="0.25">
      <c r="B31" s="445" t="str">
        <f>+'Peds &amp; Bikes'!A1</f>
        <v>Planning Scheme Policy for infrastructure contributions - stormwater and transport infrastructure (Pedestrians and Bikeways)</v>
      </c>
      <c r="C31" s="446"/>
      <c r="D31" s="446"/>
      <c r="E31" s="446"/>
      <c r="F31" s="404">
        <f>+ROUND($H$14*'June 2009 Summary'!F30,0)</f>
        <v>0</v>
      </c>
      <c r="G31" s="404" t="str">
        <f>+'June 2009 Summary'!G30</f>
        <v>N/A</v>
      </c>
      <c r="H31" s="411">
        <f t="shared" si="0"/>
        <v>0</v>
      </c>
      <c r="I31" s="423">
        <f t="shared" si="1"/>
        <v>45627</v>
      </c>
      <c r="J31" s="72" t="s">
        <v>317</v>
      </c>
      <c r="K31" s="127"/>
    </row>
    <row r="32" spans="1:26" ht="33.75" customHeight="1" x14ac:dyDescent="0.25">
      <c r="B32" s="445" t="str">
        <f>+Roads!$A$1</f>
        <v>Planning Scheme Policy for infrastructure contributions - stormwater and transport infrastructure (Roads)</v>
      </c>
      <c r="C32" s="446"/>
      <c r="D32" s="446"/>
      <c r="E32" s="446"/>
      <c r="F32" s="400"/>
      <c r="G32" s="400"/>
      <c r="H32" s="409"/>
      <c r="I32" s="422"/>
      <c r="J32" s="73"/>
      <c r="K32" s="127"/>
    </row>
    <row r="33" spans="1:22" ht="15" customHeight="1" x14ac:dyDescent="0.25">
      <c r="B33" s="94"/>
      <c r="C33" s="96" t="str">
        <f>+Roads!E28</f>
        <v>TCC Works</v>
      </c>
      <c r="D33" s="95"/>
      <c r="E33" s="95"/>
      <c r="F33" s="400">
        <f>+ROUND($H$14*'June 2009 Summary'!F32,0)</f>
        <v>0</v>
      </c>
      <c r="G33" s="400">
        <f>+$H$14*'June 2009 Summary'!G32</f>
        <v>0</v>
      </c>
      <c r="H33" s="401">
        <f>+ROUND(F33-G33,0)</f>
        <v>0</v>
      </c>
      <c r="I33" s="422">
        <f t="shared" si="1"/>
        <v>45627</v>
      </c>
      <c r="J33" s="55" t="s">
        <v>449</v>
      </c>
      <c r="K33" s="127"/>
    </row>
    <row r="34" spans="1:22" ht="15" customHeight="1" x14ac:dyDescent="0.25">
      <c r="B34" s="94"/>
      <c r="C34" s="45" t="str">
        <f>+Roads!E29</f>
        <v>TCC Land</v>
      </c>
      <c r="D34" s="95"/>
      <c r="E34" s="95"/>
      <c r="F34" s="400">
        <f>+ROUND($D$16/'June 2009 Summary'!$D$15*'June 2009 Summary'!F33,0)</f>
        <v>0</v>
      </c>
      <c r="G34" s="400">
        <f>+$D$16/'June 2009 Summary'!$D$15*'June 2009 Summary'!G33</f>
        <v>0</v>
      </c>
      <c r="H34" s="401">
        <f>+ROUND(F34-G34,0)</f>
        <v>0</v>
      </c>
      <c r="I34" s="422">
        <f t="shared" si="1"/>
        <v>45627</v>
      </c>
      <c r="J34" s="55" t="s">
        <v>450</v>
      </c>
      <c r="K34" s="127"/>
    </row>
    <row r="35" spans="1:22" ht="15" customHeight="1" x14ac:dyDescent="0.25">
      <c r="B35" s="44"/>
      <c r="C35" s="45" t="str">
        <f>+Roads!E30</f>
        <v>SCR Works</v>
      </c>
      <c r="D35" s="45"/>
      <c r="E35" s="45"/>
      <c r="F35" s="400">
        <f>+ROUND($H$14*'June 2009 Summary'!F34,0)</f>
        <v>0</v>
      </c>
      <c r="G35" s="400">
        <f>+$H$14*'June 2009 Summary'!G34</f>
        <v>0</v>
      </c>
      <c r="H35" s="401">
        <f>+ROUND(F35-G35,0)</f>
        <v>0</v>
      </c>
      <c r="I35" s="422">
        <f t="shared" si="1"/>
        <v>45627</v>
      </c>
      <c r="J35" s="55" t="s">
        <v>451</v>
      </c>
      <c r="K35" s="127"/>
      <c r="L35" s="121"/>
      <c r="M35" s="121"/>
      <c r="N35" s="121"/>
      <c r="O35" s="121"/>
      <c r="P35" s="121"/>
      <c r="Q35" s="121"/>
      <c r="T35" s="128"/>
    </row>
    <row r="36" spans="1:22" ht="15" customHeight="1" x14ac:dyDescent="0.25">
      <c r="B36" s="46"/>
      <c r="C36" s="45" t="str">
        <f>+Roads!E31</f>
        <v>SCR Land</v>
      </c>
      <c r="D36" s="45"/>
      <c r="E36" s="47"/>
      <c r="F36" s="400">
        <f>+ROUND($D$16/'June 2009 Summary'!$D$15*'June 2009 Summary'!F35,0)</f>
        <v>0</v>
      </c>
      <c r="G36" s="400">
        <f>+$D$16/'June 2009 Summary'!$D$15*'June 2009 Summary'!G35</f>
        <v>0</v>
      </c>
      <c r="H36" s="401">
        <f>+ROUND(F36-G36,0)</f>
        <v>0</v>
      </c>
      <c r="I36" s="422">
        <f t="shared" si="1"/>
        <v>45627</v>
      </c>
      <c r="J36" s="55" t="s">
        <v>451</v>
      </c>
      <c r="K36" s="127"/>
      <c r="M36" s="121"/>
      <c r="N36" s="121"/>
      <c r="O36" s="121"/>
      <c r="P36" s="121"/>
      <c r="Q36" s="121"/>
      <c r="T36" s="128"/>
    </row>
    <row r="37" spans="1:22" ht="15" customHeight="1" x14ac:dyDescent="0.25">
      <c r="B37" s="445" t="str">
        <f>+'Storm Water'!A1</f>
        <v>Planning Scheme Policy for infrastructure contributions - stormwater and transport infrastructure (Stormwater)</v>
      </c>
      <c r="C37" s="446"/>
      <c r="D37" s="446"/>
      <c r="E37" s="446"/>
      <c r="F37" s="405"/>
      <c r="G37" s="405"/>
      <c r="H37" s="406"/>
      <c r="I37" s="424"/>
      <c r="J37" s="73"/>
      <c r="K37" s="127"/>
      <c r="M37" s="121"/>
      <c r="N37" s="121"/>
      <c r="O37" s="121"/>
      <c r="P37" s="121"/>
      <c r="Q37" s="121"/>
      <c r="T37" s="128"/>
      <c r="V37" s="129"/>
    </row>
    <row r="38" spans="1:22" ht="15" customHeight="1" x14ac:dyDescent="0.25">
      <c r="B38" s="46"/>
      <c r="C38" s="47"/>
      <c r="D38" s="45"/>
      <c r="E38" s="47"/>
      <c r="F38" s="402">
        <f>+ROUND($H$14*'June 2009 Summary'!F37,0)</f>
        <v>0</v>
      </c>
      <c r="G38" s="402" t="str">
        <f>+'June 2009 Summary'!G37</f>
        <v>N/A</v>
      </c>
      <c r="H38" s="403">
        <f>+ROUND(F38,0)</f>
        <v>0</v>
      </c>
      <c r="I38" s="421">
        <f t="shared" si="1"/>
        <v>45627</v>
      </c>
      <c r="J38" s="71" t="s">
        <v>318</v>
      </c>
      <c r="K38" s="127"/>
      <c r="M38" s="121"/>
      <c r="N38" s="121"/>
      <c r="O38" s="121"/>
      <c r="P38" s="121"/>
      <c r="Q38" s="121"/>
      <c r="T38" s="128"/>
      <c r="V38" s="129"/>
    </row>
    <row r="39" spans="1:22" ht="15" customHeight="1" x14ac:dyDescent="0.25">
      <c r="B39" s="65" t="s">
        <v>301</v>
      </c>
      <c r="C39" s="58"/>
      <c r="D39" s="58"/>
      <c r="E39" s="32"/>
      <c r="F39" s="407">
        <f>ROUND(SUM(F22:F38),0)</f>
        <v>0</v>
      </c>
      <c r="G39" s="407">
        <f>SUM(G22:G38)</f>
        <v>0</v>
      </c>
      <c r="H39" s="407">
        <f>ROUND(SUM(H22:H38),0)</f>
        <v>0</v>
      </c>
      <c r="I39" s="423">
        <f t="shared" si="1"/>
        <v>45627</v>
      </c>
      <c r="J39" s="72"/>
      <c r="M39" s="131"/>
      <c r="N39" s="131"/>
      <c r="O39" s="131"/>
      <c r="P39" s="131"/>
      <c r="Q39" s="131"/>
      <c r="T39" s="128"/>
      <c r="V39" s="129"/>
    </row>
    <row r="40" spans="1:22" x14ac:dyDescent="0.25">
      <c r="M40" s="132"/>
      <c r="N40" s="132"/>
      <c r="O40" s="132"/>
      <c r="P40" s="132"/>
      <c r="Q40" s="132"/>
      <c r="T40" s="128"/>
    </row>
    <row r="41" spans="1:22" x14ac:dyDescent="0.25">
      <c r="B41" s="133"/>
      <c r="T41" s="134"/>
    </row>
    <row r="42" spans="1:22" x14ac:dyDescent="0.25">
      <c r="B42" s="248"/>
      <c r="C42" s="249"/>
      <c r="D42" s="249"/>
      <c r="E42" s="249"/>
      <c r="F42" s="249"/>
      <c r="G42" s="249"/>
      <c r="H42" s="249"/>
      <c r="I42" s="249"/>
      <c r="J42" s="249"/>
    </row>
    <row r="43" spans="1:22" ht="95.25" customHeight="1" x14ac:dyDescent="0.25">
      <c r="A43" s="250"/>
      <c r="B43" s="450"/>
      <c r="C43" s="451"/>
      <c r="D43" s="451"/>
      <c r="E43" s="451"/>
      <c r="F43" s="451"/>
      <c r="G43" s="451"/>
      <c r="H43" s="451"/>
      <c r="I43" s="451"/>
      <c r="J43" s="451"/>
    </row>
  </sheetData>
  <sheetProtection algorithmName="SHA-512" hashValue="kG2asDo5okceFNNADBARfXXdWB9JjD3OedAIQbu3ohwIqcAH4ekeOjDMkS4boen6sXO62VJ4Q96Vl68KcBn4mA==" saltValue="8R/juX3B0WlmEH7PRcQ9xg==" spinCount="100000" sheet="1" formatCells="0" formatColumns="0" formatRows="0" insertColumns="0" insertRows="0" insertHyperlinks="0" deleteColumns="0" deleteRows="0" sort="0" autoFilter="0" pivotTables="0"/>
  <mergeCells count="23">
    <mergeCell ref="B43:J43"/>
    <mergeCell ref="B37:E37"/>
    <mergeCell ref="H21:I21"/>
    <mergeCell ref="B31:E31"/>
    <mergeCell ref="B32:E32"/>
    <mergeCell ref="B29:E29"/>
    <mergeCell ref="B30:E30"/>
    <mergeCell ref="B22:E22"/>
    <mergeCell ref="B16:C16"/>
    <mergeCell ref="B13:C13"/>
    <mergeCell ref="B14:C14"/>
    <mergeCell ref="B17:C17"/>
    <mergeCell ref="B25:E25"/>
    <mergeCell ref="B21:E21"/>
    <mergeCell ref="B15:C15"/>
    <mergeCell ref="E4:J4"/>
    <mergeCell ref="B4:D4"/>
    <mergeCell ref="E9:J9"/>
    <mergeCell ref="E10:J10"/>
    <mergeCell ref="E5:J5"/>
    <mergeCell ref="E6:J6"/>
    <mergeCell ref="E8:J8"/>
    <mergeCell ref="E7:J7"/>
  </mergeCells>
  <phoneticPr fontId="4" type="noConversion"/>
  <conditionalFormatting sqref="F22:H38 I23:I39">
    <cfRule type="cellIs" dxfId="1" priority="1" stopIfTrue="1" operator="lessThan">
      <formula>0</formula>
    </cfRule>
  </conditionalFormatting>
  <pageMargins left="0.75" right="0.32" top="1" bottom="0.68" header="0.5" footer="0.5"/>
  <pageSetup paperSize="9" scale="74" orientation="landscape"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42"/>
  <sheetViews>
    <sheetView zoomScale="75" workbookViewId="0">
      <selection activeCell="E5" sqref="E5:J5"/>
    </sheetView>
  </sheetViews>
  <sheetFormatPr defaultColWidth="9.109375" defaultRowHeight="13.8" x14ac:dyDescent="0.25"/>
  <cols>
    <col min="1" max="1" width="3.44140625" style="117" customWidth="1"/>
    <col min="2" max="3" width="9.33203125" style="117" customWidth="1"/>
    <col min="4" max="4" width="10.5546875" style="117" customWidth="1"/>
    <col min="5" max="5" width="16" style="117" customWidth="1"/>
    <col min="6" max="8" width="17.88671875" style="117" customWidth="1"/>
    <col min="9" max="10" width="16" style="117" customWidth="1"/>
    <col min="11" max="11" width="5.109375" style="117" customWidth="1"/>
    <col min="12" max="12" width="10.44140625" style="117" customWidth="1"/>
    <col min="13" max="16" width="16" style="117" customWidth="1"/>
    <col min="17" max="17" width="16.33203125" style="117" customWidth="1"/>
    <col min="18" max="18" width="11.33203125" style="117" customWidth="1"/>
    <col min="19" max="19" width="16.44140625" style="117" customWidth="1"/>
    <col min="20" max="20" width="11.33203125" style="117" customWidth="1"/>
    <col min="21" max="21" width="7" style="117" customWidth="1"/>
    <col min="22" max="22" width="8.109375" style="117" customWidth="1"/>
    <col min="23" max="23" width="5.88671875" style="117" customWidth="1"/>
    <col min="24" max="24" width="6.33203125" style="117" customWidth="1"/>
    <col min="25" max="16384" width="9.109375" style="117"/>
  </cols>
  <sheetData>
    <row r="1" spans="1:12" ht="15.6" x14ac:dyDescent="0.3">
      <c r="A1" s="251" t="s">
        <v>447</v>
      </c>
    </row>
    <row r="3" spans="1:12" x14ac:dyDescent="0.25">
      <c r="A3" s="117">
        <v>1</v>
      </c>
      <c r="B3" s="118" t="s">
        <v>278</v>
      </c>
      <c r="C3" s="118"/>
    </row>
    <row r="4" spans="1:12" ht="24.75" customHeight="1" x14ac:dyDescent="0.25">
      <c r="B4" s="430" t="s">
        <v>88</v>
      </c>
      <c r="C4" s="431"/>
      <c r="D4" s="432"/>
      <c r="E4" s="430" t="s">
        <v>278</v>
      </c>
      <c r="F4" s="431"/>
      <c r="G4" s="431"/>
      <c r="H4" s="431"/>
      <c r="I4" s="431"/>
      <c r="J4" s="432"/>
    </row>
    <row r="5" spans="1:12" ht="20.25" customHeight="1" x14ac:dyDescent="0.25">
      <c r="B5" s="29" t="s">
        <v>282</v>
      </c>
      <c r="C5" s="57"/>
      <c r="D5" s="30"/>
      <c r="E5" s="433"/>
      <c r="F5" s="434"/>
      <c r="G5" s="434"/>
      <c r="H5" s="434"/>
      <c r="I5" s="434"/>
      <c r="J5" s="435"/>
    </row>
    <row r="6" spans="1:12" ht="20.25" customHeight="1" x14ac:dyDescent="0.25">
      <c r="B6" s="31" t="s">
        <v>281</v>
      </c>
      <c r="C6" s="58"/>
      <c r="D6" s="32"/>
      <c r="E6" s="433"/>
      <c r="F6" s="434"/>
      <c r="G6" s="434"/>
      <c r="H6" s="434"/>
      <c r="I6" s="434"/>
      <c r="J6" s="435"/>
      <c r="K6" s="119"/>
    </row>
    <row r="7" spans="1:12" ht="20.25" customHeight="1" x14ac:dyDescent="0.25">
      <c r="B7" s="31" t="s">
        <v>279</v>
      </c>
      <c r="C7" s="58"/>
      <c r="D7" s="32"/>
      <c r="E7" s="433"/>
      <c r="F7" s="434"/>
      <c r="G7" s="434"/>
      <c r="H7" s="434"/>
      <c r="I7" s="434"/>
      <c r="J7" s="435"/>
      <c r="K7" s="119"/>
    </row>
    <row r="8" spans="1:12" ht="20.25" customHeight="1" x14ac:dyDescent="0.25">
      <c r="B8" s="33" t="s">
        <v>280</v>
      </c>
      <c r="C8" s="43"/>
      <c r="D8" s="34"/>
      <c r="E8" s="433"/>
      <c r="F8" s="434"/>
      <c r="G8" s="434"/>
      <c r="H8" s="434"/>
      <c r="I8" s="434"/>
      <c r="J8" s="435"/>
    </row>
    <row r="9" spans="1:12" ht="20.25" customHeight="1" x14ac:dyDescent="0.25">
      <c r="B9" s="33" t="s">
        <v>284</v>
      </c>
      <c r="C9" s="43"/>
      <c r="D9" s="34"/>
      <c r="E9" s="433"/>
      <c r="F9" s="434"/>
      <c r="G9" s="434"/>
      <c r="H9" s="434"/>
      <c r="I9" s="434"/>
      <c r="J9" s="435"/>
      <c r="K9" s="120"/>
    </row>
    <row r="10" spans="1:12" ht="20.25" customHeight="1" x14ac:dyDescent="0.25">
      <c r="B10" s="33" t="s">
        <v>283</v>
      </c>
      <c r="C10" s="43"/>
      <c r="D10" s="34"/>
      <c r="E10" s="433"/>
      <c r="F10" s="434"/>
      <c r="G10" s="434"/>
      <c r="H10" s="434"/>
      <c r="I10" s="434"/>
      <c r="J10" s="435"/>
      <c r="K10" s="120"/>
      <c r="L10" s="121"/>
    </row>
    <row r="11" spans="1:12" ht="12" customHeight="1" x14ac:dyDescent="0.25"/>
    <row r="12" spans="1:12" x14ac:dyDescent="0.25">
      <c r="A12" s="117">
        <v>2</v>
      </c>
      <c r="B12" s="118" t="s">
        <v>286</v>
      </c>
    </row>
    <row r="13" spans="1:12" ht="18" customHeight="1" x14ac:dyDescent="0.25">
      <c r="B13" s="439" t="s">
        <v>88</v>
      </c>
      <c r="C13" s="440"/>
      <c r="D13" s="59" t="s">
        <v>293</v>
      </c>
    </row>
    <row r="14" spans="1:12" ht="15" customHeight="1" x14ac:dyDescent="0.25">
      <c r="B14" s="457" t="s">
        <v>292</v>
      </c>
      <c r="C14" s="458"/>
      <c r="D14" s="353" t="s">
        <v>448</v>
      </c>
    </row>
    <row r="15" spans="1:12" ht="15" customHeight="1" x14ac:dyDescent="0.25">
      <c r="B15" s="437" t="s">
        <v>105</v>
      </c>
      <c r="C15" s="438"/>
      <c r="D15" s="354">
        <v>92.9</v>
      </c>
    </row>
    <row r="16" spans="1:12" ht="15" customHeight="1" x14ac:dyDescent="0.25">
      <c r="B16" s="459" t="s">
        <v>287</v>
      </c>
      <c r="C16" s="460"/>
      <c r="D16" s="355">
        <v>95.2</v>
      </c>
    </row>
    <row r="17" spans="1:26" ht="15" customHeight="1" x14ac:dyDescent="0.25">
      <c r="B17" s="122"/>
    </row>
    <row r="18" spans="1:26" ht="15" customHeight="1" x14ac:dyDescent="0.25">
      <c r="B18" s="122"/>
    </row>
    <row r="19" spans="1:26" s="120" customFormat="1" ht="17.25" customHeight="1" x14ac:dyDescent="0.25">
      <c r="A19" s="120">
        <v>3</v>
      </c>
      <c r="B19" s="123" t="s">
        <v>285</v>
      </c>
      <c r="C19" s="123"/>
      <c r="D19" s="124"/>
      <c r="E19" s="124"/>
      <c r="F19" s="125"/>
      <c r="G19" s="125"/>
      <c r="H19" s="125"/>
      <c r="I19" s="124"/>
      <c r="J19" s="125"/>
      <c r="L19" s="121"/>
    </row>
    <row r="20" spans="1:26" s="120" customFormat="1" ht="34.5" customHeight="1" x14ac:dyDescent="0.25">
      <c r="B20" s="447" t="s">
        <v>285</v>
      </c>
      <c r="C20" s="448"/>
      <c r="D20" s="448"/>
      <c r="E20" s="449"/>
      <c r="F20" s="293" t="s">
        <v>591</v>
      </c>
      <c r="G20" s="295" t="s">
        <v>592</v>
      </c>
      <c r="H20" s="452" t="s">
        <v>593</v>
      </c>
      <c r="I20" s="453"/>
      <c r="J20" s="93" t="s">
        <v>441</v>
      </c>
      <c r="L20" s="121"/>
      <c r="T20" s="126"/>
    </row>
    <row r="21" spans="1:26" s="120" customFormat="1" ht="36.75" customHeight="1" x14ac:dyDescent="0.25">
      <c r="B21" s="445" t="str">
        <f>+Sewer!A1</f>
        <v>Developer contributions towards the cost of sewer headworks</v>
      </c>
      <c r="C21" s="446"/>
      <c r="D21" s="446"/>
      <c r="E21" s="456"/>
      <c r="F21" s="35"/>
      <c r="G21" s="359"/>
      <c r="H21" s="35"/>
      <c r="I21" s="36"/>
      <c r="J21" s="54"/>
      <c r="K21" s="126"/>
      <c r="L21" s="121"/>
      <c r="T21" s="126"/>
    </row>
    <row r="22" spans="1:26" s="120" customFormat="1" ht="15.75" customHeight="1" x14ac:dyDescent="0.25">
      <c r="A22" s="124"/>
      <c r="B22" s="41"/>
      <c r="C22" s="42" t="str">
        <f>+Sewer!B48</f>
        <v>Trunk sewers &amp; pump systems (Hs)</v>
      </c>
      <c r="D22" s="53"/>
      <c r="E22" s="48"/>
      <c r="F22" s="97">
        <f>+Sewer!G48</f>
        <v>0</v>
      </c>
      <c r="G22" s="360" t="s">
        <v>594</v>
      </c>
      <c r="H22" s="97">
        <f>+F22</f>
        <v>0</v>
      </c>
      <c r="I22" s="37" t="str">
        <f>+Sewer!G47</f>
        <v>Jun '09</v>
      </c>
      <c r="J22" s="55" t="s">
        <v>313</v>
      </c>
      <c r="K22" s="127"/>
      <c r="T22" s="126"/>
    </row>
    <row r="23" spans="1:26" s="120" customFormat="1" ht="15.75" customHeight="1" x14ac:dyDescent="0.25">
      <c r="A23" s="124"/>
      <c r="B23" s="33"/>
      <c r="C23" s="43" t="str">
        <f>+Sewer!B50</f>
        <v>Treatment plants &amp; outfalls (Ht)</v>
      </c>
      <c r="D23" s="53"/>
      <c r="E23" s="34"/>
      <c r="F23" s="98">
        <f>+Sewer!G50</f>
        <v>0</v>
      </c>
      <c r="G23" s="361" t="s">
        <v>594</v>
      </c>
      <c r="H23" s="98">
        <f>+F23</f>
        <v>0</v>
      </c>
      <c r="I23" s="38" t="str">
        <f>+I22</f>
        <v>Jun '09</v>
      </c>
      <c r="J23" s="69" t="s">
        <v>314</v>
      </c>
      <c r="K23" s="127"/>
      <c r="T23" s="126"/>
    </row>
    <row r="24" spans="1:26" s="120" customFormat="1" ht="33" customHeight="1" x14ac:dyDescent="0.25">
      <c r="A24" s="124"/>
      <c r="B24" s="445" t="str">
        <f>+Water!A1</f>
        <v>Developer contributions towards the cost of water supply headworks</v>
      </c>
      <c r="C24" s="446"/>
      <c r="D24" s="446"/>
      <c r="E24" s="456"/>
      <c r="F24" s="99"/>
      <c r="G24" s="362"/>
      <c r="H24" s="99"/>
      <c r="I24" s="36"/>
      <c r="J24" s="70"/>
      <c r="K24" s="127"/>
      <c r="T24" s="126"/>
    </row>
    <row r="25" spans="1:26" ht="18" customHeight="1" x14ac:dyDescent="0.25">
      <c r="B25" s="44"/>
      <c r="C25" s="45" t="str">
        <f>+Water!B55</f>
        <v>Water Board Works (Hb)</v>
      </c>
      <c r="D25" s="45"/>
      <c r="E25" s="49"/>
      <c r="F25" s="97">
        <f>+Water!G55</f>
        <v>0</v>
      </c>
      <c r="G25" s="360" t="s">
        <v>594</v>
      </c>
      <c r="H25" s="97">
        <f t="shared" ref="H25:H30" si="0">+F25</f>
        <v>0</v>
      </c>
      <c r="I25" s="39" t="str">
        <f>+Water!G54</f>
        <v>Jun '09</v>
      </c>
      <c r="J25" s="55" t="s">
        <v>322</v>
      </c>
      <c r="K25" s="127"/>
      <c r="T25" s="128"/>
      <c r="V25" s="129"/>
      <c r="X25" s="129"/>
      <c r="Z25" s="129"/>
    </row>
    <row r="26" spans="1:26" ht="18" customHeight="1" x14ac:dyDescent="0.25">
      <c r="B26" s="44"/>
      <c r="C26" s="45" t="str">
        <f>+Water!B57</f>
        <v>Council Reservoirs (Hr)</v>
      </c>
      <c r="D26" s="45"/>
      <c r="E26" s="49"/>
      <c r="F26" s="97">
        <f>+Water!G57</f>
        <v>0</v>
      </c>
      <c r="G26" s="360" t="s">
        <v>594</v>
      </c>
      <c r="H26" s="97">
        <f t="shared" si="0"/>
        <v>0</v>
      </c>
      <c r="I26" s="39" t="str">
        <f>+I25</f>
        <v>Jun '09</v>
      </c>
      <c r="J26" s="55" t="s">
        <v>315</v>
      </c>
      <c r="K26" s="127"/>
      <c r="T26" s="128"/>
      <c r="V26" s="129"/>
      <c r="X26" s="129"/>
      <c r="Z26" s="129"/>
    </row>
    <row r="27" spans="1:26" ht="18" customHeight="1" x14ac:dyDescent="0.25">
      <c r="B27" s="44"/>
      <c r="C27" s="45" t="str">
        <f>+Water!B59</f>
        <v>Council Mains (Hm)</v>
      </c>
      <c r="D27" s="45"/>
      <c r="E27" s="49"/>
      <c r="F27" s="97">
        <f>+Water!G59</f>
        <v>0</v>
      </c>
      <c r="G27" s="364" t="s">
        <v>594</v>
      </c>
      <c r="H27" s="97">
        <f t="shared" si="0"/>
        <v>0</v>
      </c>
      <c r="I27" s="39" t="str">
        <f>+I26</f>
        <v>Jun '09</v>
      </c>
      <c r="J27" s="55" t="s">
        <v>316</v>
      </c>
      <c r="K27" s="127"/>
      <c r="T27" s="128"/>
      <c r="V27" s="129"/>
      <c r="X27" s="129"/>
      <c r="Z27" s="129"/>
    </row>
    <row r="28" spans="1:26" ht="30" customHeight="1" x14ac:dyDescent="0.25">
      <c r="B28" s="454" t="str">
        <f>+'Open Space'!A1</f>
        <v>Public Garden and Recreation Space</v>
      </c>
      <c r="C28" s="455"/>
      <c r="D28" s="455"/>
      <c r="E28" s="461"/>
      <c r="F28" s="100">
        <f>+'Open Space'!E19</f>
        <v>0</v>
      </c>
      <c r="G28" s="360" t="s">
        <v>594</v>
      </c>
      <c r="H28" s="100">
        <f t="shared" si="0"/>
        <v>0</v>
      </c>
      <c r="I28" s="50" t="str">
        <f>+'Open Space'!K13</f>
        <v>Jun '09</v>
      </c>
      <c r="J28" s="72" t="s">
        <v>312</v>
      </c>
      <c r="K28" s="127"/>
      <c r="T28" s="130"/>
    </row>
    <row r="29" spans="1:26" ht="34.5" customHeight="1" x14ac:dyDescent="0.25">
      <c r="B29" s="454" t="str">
        <f>+'Car Parking'!A1</f>
        <v>Contributions towards the cost of the provision of off-street car parking spaces</v>
      </c>
      <c r="C29" s="455"/>
      <c r="D29" s="455"/>
      <c r="E29" s="461"/>
      <c r="F29" s="100">
        <f>+'Car Parking'!E16</f>
        <v>0</v>
      </c>
      <c r="G29" s="363" t="s">
        <v>594</v>
      </c>
      <c r="H29" s="100">
        <f t="shared" si="0"/>
        <v>0</v>
      </c>
      <c r="I29" s="50" t="str">
        <f>+'Car Parking'!E15</f>
        <v>Jun '09</v>
      </c>
      <c r="J29" s="72" t="s">
        <v>319</v>
      </c>
      <c r="K29" s="127"/>
    </row>
    <row r="30" spans="1:26" ht="50.25" customHeight="1" x14ac:dyDescent="0.25">
      <c r="B30" s="445" t="str">
        <f>+'Peds &amp; Bikes'!A1</f>
        <v>Planning Scheme Policy for infrastructure contributions - stormwater and transport infrastructure (Pedestrians and Bikeways)</v>
      </c>
      <c r="C30" s="446"/>
      <c r="D30" s="446"/>
      <c r="E30" s="456"/>
      <c r="F30" s="101">
        <f>+'Peds &amp; Bikes'!G31</f>
        <v>0</v>
      </c>
      <c r="G30" s="363" t="s">
        <v>594</v>
      </c>
      <c r="H30" s="101">
        <f t="shared" si="0"/>
        <v>0</v>
      </c>
      <c r="I30" s="51" t="str">
        <f>+'Peds &amp; Bikes'!G30</f>
        <v>Jun '09</v>
      </c>
      <c r="J30" s="72" t="s">
        <v>317</v>
      </c>
      <c r="K30" s="127"/>
    </row>
    <row r="31" spans="1:26" ht="48" customHeight="1" x14ac:dyDescent="0.25">
      <c r="B31" s="445" t="str">
        <f>+Roads!$A$1</f>
        <v>Planning Scheme Policy for infrastructure contributions - stormwater and transport infrastructure (Roads)</v>
      </c>
      <c r="C31" s="446"/>
      <c r="D31" s="446"/>
      <c r="E31" s="446"/>
      <c r="F31" s="102"/>
      <c r="G31" s="358"/>
      <c r="H31" s="102"/>
      <c r="I31" s="52"/>
      <c r="J31" s="73"/>
      <c r="K31" s="127"/>
    </row>
    <row r="32" spans="1:26" ht="16.5" customHeight="1" x14ac:dyDescent="0.25">
      <c r="B32" s="94"/>
      <c r="C32" s="96" t="str">
        <f>+Roads!E28</f>
        <v>TCC Works</v>
      </c>
      <c r="D32" s="95"/>
      <c r="E32" s="95"/>
      <c r="F32" s="103">
        <f>+Roads!C35</f>
        <v>0</v>
      </c>
      <c r="G32" s="357">
        <f>+Waivers!C68</f>
        <v>0</v>
      </c>
      <c r="H32" s="103">
        <f>+F32-G32</f>
        <v>0</v>
      </c>
      <c r="I32" s="39" t="str">
        <f>+Roads!L28</f>
        <v>Jun '09</v>
      </c>
      <c r="J32" s="366" t="str">
        <f>+Roads!M28</f>
        <v/>
      </c>
      <c r="K32" s="127"/>
    </row>
    <row r="33" spans="1:22" ht="16.5" customHeight="1" x14ac:dyDescent="0.25">
      <c r="B33" s="94"/>
      <c r="C33" s="45" t="str">
        <f>+Roads!E29</f>
        <v>TCC Land</v>
      </c>
      <c r="D33" s="95"/>
      <c r="E33" s="95"/>
      <c r="F33" s="103">
        <f>+Roads!C36</f>
        <v>0</v>
      </c>
      <c r="G33" s="357">
        <f>+Waivers!C69</f>
        <v>0</v>
      </c>
      <c r="H33" s="103">
        <f>+F33-G33</f>
        <v>0</v>
      </c>
      <c r="I33" s="39" t="str">
        <f>+Roads!L29</f>
        <v>Jun '09</v>
      </c>
      <c r="J33" s="366" t="str">
        <f>+Roads!M29</f>
        <v/>
      </c>
      <c r="K33" s="127"/>
    </row>
    <row r="34" spans="1:22" ht="16.5" customHeight="1" x14ac:dyDescent="0.25">
      <c r="B34" s="44"/>
      <c r="C34" s="45" t="str">
        <f>+Roads!E30</f>
        <v>SCR Works</v>
      </c>
      <c r="D34" s="45"/>
      <c r="E34" s="45"/>
      <c r="F34" s="103">
        <f>+Roads!C37</f>
        <v>0</v>
      </c>
      <c r="G34" s="357">
        <f>+Waivers!C70</f>
        <v>0</v>
      </c>
      <c r="H34" s="103">
        <f>+F34-G34</f>
        <v>0</v>
      </c>
      <c r="I34" s="39" t="str">
        <f>+Roads!L30</f>
        <v>Jun '09</v>
      </c>
      <c r="J34" s="366" t="str">
        <f>+Roads!M30</f>
        <v/>
      </c>
      <c r="K34" s="127"/>
      <c r="L34" s="121"/>
      <c r="M34" s="121"/>
      <c r="N34" s="121"/>
      <c r="O34" s="121"/>
      <c r="P34" s="121"/>
      <c r="Q34" s="121"/>
      <c r="T34" s="128"/>
    </row>
    <row r="35" spans="1:22" ht="16.5" customHeight="1" x14ac:dyDescent="0.25">
      <c r="B35" s="46"/>
      <c r="C35" s="45" t="str">
        <f>+Roads!E31</f>
        <v>SCR Land</v>
      </c>
      <c r="D35" s="45"/>
      <c r="E35" s="47"/>
      <c r="F35" s="103">
        <f>+Roads!C38</f>
        <v>0</v>
      </c>
      <c r="G35" s="357">
        <f>+Waivers!C71</f>
        <v>0</v>
      </c>
      <c r="H35" s="103">
        <f>+F35-G35</f>
        <v>0</v>
      </c>
      <c r="I35" s="39" t="str">
        <f>+Roads!L31</f>
        <v>Jun '09</v>
      </c>
      <c r="J35" s="366" t="str">
        <f>+Roads!M31</f>
        <v/>
      </c>
      <c r="K35" s="127"/>
      <c r="M35" s="121"/>
      <c r="N35" s="121"/>
      <c r="O35" s="121"/>
      <c r="P35" s="121"/>
      <c r="Q35" s="121"/>
      <c r="T35" s="128"/>
    </row>
    <row r="36" spans="1:22" ht="51.75" customHeight="1" x14ac:dyDescent="0.25">
      <c r="B36" s="445" t="str">
        <f>+'Storm Water'!A1</f>
        <v>Planning Scheme Policy for infrastructure contributions - stormwater and transport infrastructure (Stormwater)</v>
      </c>
      <c r="C36" s="446"/>
      <c r="D36" s="446"/>
      <c r="E36" s="446"/>
      <c r="F36" s="104"/>
      <c r="G36" s="104"/>
      <c r="H36" s="104"/>
      <c r="I36" s="52"/>
      <c r="J36" s="73"/>
      <c r="K36" s="127"/>
      <c r="M36" s="121"/>
      <c r="N36" s="121"/>
      <c r="O36" s="121"/>
      <c r="P36" s="121"/>
      <c r="Q36" s="121"/>
      <c r="T36" s="128"/>
      <c r="V36" s="129"/>
    </row>
    <row r="37" spans="1:22" ht="14.25" customHeight="1" x14ac:dyDescent="0.25">
      <c r="B37" s="46"/>
      <c r="C37" s="47"/>
      <c r="D37" s="45"/>
      <c r="E37" s="47"/>
      <c r="F37" s="105">
        <f>+'Storm Water'!C30</f>
        <v>0</v>
      </c>
      <c r="G37" s="105" t="s">
        <v>594</v>
      </c>
      <c r="H37" s="105">
        <f>+F37</f>
        <v>0</v>
      </c>
      <c r="I37" s="40" t="str">
        <f>+'Storm Water'!J26</f>
        <v>Jun '09</v>
      </c>
      <c r="J37" s="71" t="s">
        <v>318</v>
      </c>
      <c r="K37" s="127"/>
      <c r="M37" s="121"/>
      <c r="N37" s="121"/>
      <c r="O37" s="121"/>
      <c r="P37" s="121"/>
      <c r="Q37" s="121"/>
      <c r="T37" s="128"/>
      <c r="V37" s="129"/>
    </row>
    <row r="38" spans="1:22" ht="32.25" customHeight="1" x14ac:dyDescent="0.25">
      <c r="B38" s="65" t="s">
        <v>301</v>
      </c>
      <c r="C38" s="58"/>
      <c r="D38" s="58"/>
      <c r="E38" s="32"/>
      <c r="F38" s="66">
        <f>SUM(F21:F37)</f>
        <v>0</v>
      </c>
      <c r="G38" s="66">
        <f>SUM(G21:G37)</f>
        <v>0</v>
      </c>
      <c r="H38" s="66">
        <f>SUM(H21:H37)</f>
        <v>0</v>
      </c>
      <c r="I38" s="365" t="str">
        <f>+I37</f>
        <v>Jun '09</v>
      </c>
      <c r="J38" s="72"/>
      <c r="M38" s="131"/>
      <c r="N38" s="131"/>
      <c r="O38" s="131"/>
      <c r="P38" s="131"/>
      <c r="Q38" s="131"/>
      <c r="T38" s="128"/>
      <c r="V38" s="129"/>
    </row>
    <row r="39" spans="1:22" x14ac:dyDescent="0.25">
      <c r="M39" s="132"/>
      <c r="N39" s="132"/>
      <c r="O39" s="132"/>
      <c r="P39" s="132"/>
      <c r="Q39" s="132"/>
      <c r="T39" s="128"/>
    </row>
    <row r="40" spans="1:22" x14ac:dyDescent="0.25">
      <c r="B40" s="133"/>
      <c r="T40" s="134"/>
    </row>
    <row r="41" spans="1:22" x14ac:dyDescent="0.25">
      <c r="B41" s="248"/>
      <c r="C41" s="249"/>
      <c r="D41" s="249"/>
      <c r="E41" s="249"/>
      <c r="F41" s="249"/>
      <c r="G41" s="249"/>
      <c r="H41" s="249"/>
      <c r="I41" s="249"/>
      <c r="J41" s="249"/>
    </row>
    <row r="42" spans="1:22" ht="95.25" customHeight="1" x14ac:dyDescent="0.25">
      <c r="A42" s="250"/>
      <c r="B42" s="450"/>
      <c r="C42" s="451"/>
      <c r="D42" s="451"/>
      <c r="E42" s="451"/>
      <c r="F42" s="451"/>
      <c r="G42" s="451"/>
      <c r="H42" s="451"/>
      <c r="I42" s="451"/>
      <c r="J42" s="451"/>
    </row>
  </sheetData>
  <sheetProtection password="CDF4" sheet="1" objects="1" scenarios="1"/>
  <mergeCells count="22">
    <mergeCell ref="H20:I20"/>
    <mergeCell ref="E4:J4"/>
    <mergeCell ref="B4:D4"/>
    <mergeCell ref="E9:J9"/>
    <mergeCell ref="E10:J10"/>
    <mergeCell ref="E5:J5"/>
    <mergeCell ref="E6:J6"/>
    <mergeCell ref="E8:J8"/>
    <mergeCell ref="E7:J7"/>
    <mergeCell ref="B42:J42"/>
    <mergeCell ref="B36:E36"/>
    <mergeCell ref="B30:E30"/>
    <mergeCell ref="B31:E31"/>
    <mergeCell ref="B28:E28"/>
    <mergeCell ref="B29:E29"/>
    <mergeCell ref="B21:E21"/>
    <mergeCell ref="B24:E24"/>
    <mergeCell ref="B20:E20"/>
    <mergeCell ref="B15:C15"/>
    <mergeCell ref="B13:C13"/>
    <mergeCell ref="B14:C14"/>
    <mergeCell ref="B16:C16"/>
  </mergeCells>
  <phoneticPr fontId="4" type="noConversion"/>
  <conditionalFormatting sqref="F21:H37">
    <cfRule type="cellIs" dxfId="0" priority="1" stopIfTrue="1" operator="lessThan">
      <formula>0</formula>
    </cfRule>
  </conditionalFormatting>
  <pageMargins left="0.75" right="0.75" top="1" bottom="1" header="0.5" footer="0.5"/>
  <pageSetup paperSize="9" scale="63"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129"/>
  <sheetViews>
    <sheetView showGridLines="0" zoomScale="75" workbookViewId="0">
      <selection activeCell="H14" sqref="H14"/>
    </sheetView>
  </sheetViews>
  <sheetFormatPr defaultColWidth="9.109375" defaultRowHeight="13.2" x14ac:dyDescent="0.25"/>
  <cols>
    <col min="1" max="1" width="2.5546875" style="109" customWidth="1"/>
    <col min="2" max="2" width="15.6640625" style="109" customWidth="1"/>
    <col min="3" max="3" width="13.6640625" style="109" customWidth="1"/>
    <col min="4" max="5" width="8.109375" style="109" customWidth="1"/>
    <col min="6" max="6" width="11.6640625" style="109" customWidth="1"/>
    <col min="7" max="7" width="14" style="109" customWidth="1"/>
    <col min="8" max="8" width="12.88671875" style="109" customWidth="1"/>
    <col min="9" max="9" width="11.109375" style="109" customWidth="1"/>
    <col min="10" max="10" width="10.6640625" style="109" customWidth="1"/>
    <col min="11" max="11" width="10.109375" style="109" customWidth="1"/>
    <col min="12" max="12" width="9.109375" style="109"/>
    <col min="13" max="13" width="10.44140625" style="109" customWidth="1"/>
    <col min="14" max="14" width="8.44140625" style="109" customWidth="1"/>
    <col min="15" max="15" width="7.5546875" style="109" customWidth="1"/>
    <col min="16" max="16" width="10.5546875" style="109" customWidth="1"/>
    <col min="17" max="17" width="28.109375" style="109" customWidth="1"/>
    <col min="18" max="18" width="11.33203125" style="109" customWidth="1"/>
    <col min="19" max="28" width="9.109375" style="109"/>
    <col min="29" max="29" width="16.88671875" style="109" customWidth="1"/>
    <col min="30" max="30" width="9.109375" style="109"/>
    <col min="31" max="31" width="0" style="109" hidden="1" customWidth="1"/>
    <col min="32" max="16384" width="9.109375" style="109"/>
  </cols>
  <sheetData>
    <row r="1" spans="1:31" ht="15.6" x14ac:dyDescent="0.3">
      <c r="A1" s="116" t="s">
        <v>211</v>
      </c>
      <c r="M1" s="135" t="s">
        <v>296</v>
      </c>
    </row>
    <row r="2" spans="1:31" ht="60.75" customHeight="1" x14ac:dyDescent="0.25">
      <c r="E2" s="136"/>
      <c r="F2" s="136"/>
      <c r="G2" s="136"/>
      <c r="H2" s="136"/>
      <c r="I2" s="136"/>
      <c r="J2" s="136"/>
      <c r="K2" s="136"/>
    </row>
    <row r="3" spans="1:31" x14ac:dyDescent="0.25">
      <c r="A3" s="135">
        <v>1</v>
      </c>
      <c r="B3" s="137" t="s">
        <v>30</v>
      </c>
      <c r="AE3" s="138">
        <v>1</v>
      </c>
    </row>
    <row r="4" spans="1:31" x14ac:dyDescent="0.25">
      <c r="A4" s="135"/>
      <c r="B4" s="137"/>
      <c r="AE4" s="138"/>
    </row>
    <row r="5" spans="1:31" x14ac:dyDescent="0.25">
      <c r="A5" s="135">
        <v>2</v>
      </c>
      <c r="B5" s="137" t="s">
        <v>212</v>
      </c>
      <c r="AE5" s="138"/>
    </row>
    <row r="6" spans="1:31" x14ac:dyDescent="0.25">
      <c r="B6" s="479" t="s">
        <v>28</v>
      </c>
      <c r="C6" s="481"/>
      <c r="D6" s="504" t="s">
        <v>88</v>
      </c>
      <c r="E6" s="504"/>
      <c r="F6" s="504"/>
      <c r="G6" s="504"/>
      <c r="H6" s="465" t="s">
        <v>41</v>
      </c>
      <c r="I6" s="466"/>
      <c r="J6" s="467"/>
      <c r="K6" s="505" t="s">
        <v>100</v>
      </c>
      <c r="L6" s="465" t="s">
        <v>101</v>
      </c>
      <c r="M6" s="467"/>
      <c r="AE6" s="138"/>
    </row>
    <row r="7" spans="1:31" x14ac:dyDescent="0.25">
      <c r="B7" s="482"/>
      <c r="C7" s="484"/>
      <c r="D7" s="504"/>
      <c r="E7" s="504"/>
      <c r="F7" s="504"/>
      <c r="G7" s="504"/>
      <c r="H7" s="7" t="s">
        <v>192</v>
      </c>
      <c r="I7" s="7" t="s">
        <v>29</v>
      </c>
      <c r="J7" s="7" t="s">
        <v>287</v>
      </c>
      <c r="K7" s="506"/>
      <c r="L7" s="7" t="str">
        <f>+H7</f>
        <v>$/SU</v>
      </c>
      <c r="M7" s="7" t="s">
        <v>29</v>
      </c>
      <c r="AE7" s="138"/>
    </row>
    <row r="8" spans="1:31" x14ac:dyDescent="0.25">
      <c r="B8" s="507" t="s">
        <v>193</v>
      </c>
      <c r="C8" s="508"/>
      <c r="D8" s="18" t="s">
        <v>190</v>
      </c>
      <c r="E8" s="18"/>
      <c r="F8" s="18"/>
      <c r="G8" s="18"/>
      <c r="H8" s="253">
        <v>244.77</v>
      </c>
      <c r="I8" s="60" t="s">
        <v>294</v>
      </c>
      <c r="J8" s="56">
        <v>91.8</v>
      </c>
      <c r="K8" s="11">
        <f>+'June 2009 Summary'!$D$16/Sewer!J8</f>
        <v>1.0370370370370372</v>
      </c>
      <c r="L8" s="9">
        <f>+H8*K8</f>
        <v>253.8355555555556</v>
      </c>
      <c r="M8" s="60" t="str">
        <f>+'June 2009 Summary'!D14</f>
        <v>Jun '09</v>
      </c>
      <c r="AE8" s="138">
        <v>1</v>
      </c>
    </row>
    <row r="9" spans="1:31" x14ac:dyDescent="0.25">
      <c r="B9" s="509"/>
      <c r="C9" s="510"/>
      <c r="D9" s="12" t="s">
        <v>191</v>
      </c>
      <c r="E9" s="13"/>
      <c r="F9" s="13"/>
      <c r="G9" s="14"/>
      <c r="H9" s="255">
        <v>325.82</v>
      </c>
      <c r="I9" s="60" t="s">
        <v>294</v>
      </c>
      <c r="J9" s="56">
        <v>91.8</v>
      </c>
      <c r="K9" s="11">
        <f>+'June 2009 Summary'!$D$16/Sewer!J9</f>
        <v>1.0370370370370372</v>
      </c>
      <c r="L9" s="9">
        <f>+H9*K9</f>
        <v>337.88740740740747</v>
      </c>
      <c r="M9" s="60" t="str">
        <f>+M8</f>
        <v>Jun '09</v>
      </c>
      <c r="AE9" s="138"/>
    </row>
    <row r="10" spans="1:31" x14ac:dyDescent="0.25">
      <c r="H10" s="140" t="s">
        <v>297</v>
      </c>
      <c r="I10" s="140"/>
      <c r="AE10" s="138"/>
    </row>
    <row r="12" spans="1:31" x14ac:dyDescent="0.25">
      <c r="A12" s="135">
        <v>3</v>
      </c>
      <c r="B12" s="137" t="s">
        <v>214</v>
      </c>
    </row>
    <row r="13" spans="1:31" x14ac:dyDescent="0.25">
      <c r="B13" s="3" t="s">
        <v>32</v>
      </c>
      <c r="C13" s="4"/>
      <c r="D13" s="4"/>
      <c r="E13" s="5"/>
      <c r="F13" s="3" t="s">
        <v>34</v>
      </c>
      <c r="G13" s="6"/>
      <c r="H13" s="7" t="s">
        <v>33</v>
      </c>
      <c r="I13" s="8" t="s">
        <v>189</v>
      </c>
      <c r="J13" s="7" t="s">
        <v>186</v>
      </c>
    </row>
    <row r="14" spans="1:31" ht="15" customHeight="1" x14ac:dyDescent="0.25">
      <c r="F14" s="502" t="str">
        <f>INDEX($AC$70:$AC$111,AE14)</f>
        <v xml:space="preserve"> </v>
      </c>
      <c r="G14" s="503"/>
      <c r="H14" s="160"/>
      <c r="I14" s="15" t="str">
        <f>+IF(F14="FPA"," ",INDEX($AD$70:$AD$111,AE14))</f>
        <v xml:space="preserve"> </v>
      </c>
      <c r="J14" s="1" t="str">
        <f>+IF(OR(I14=" ",H14=0),"",IF(I14="10 + 3/bed",10+H14*3,IF(I14="2.5 + 7.5/unit",2.5+7.5*H14,IF(I14="10 (MIN 20)",MAX(20,10*H14),IF(I14="15 + 1.25/150m²",15+1.25*ROUNDUP((H14-300)/150,0),H14*I14)))))</f>
        <v/>
      </c>
      <c r="L14" s="158" t="s">
        <v>442</v>
      </c>
      <c r="AE14" s="138">
        <v>1</v>
      </c>
    </row>
    <row r="15" spans="1:31" ht="15" customHeight="1" x14ac:dyDescent="0.25">
      <c r="F15" s="502" t="str">
        <f>INDEX($AC$70:$AC$111,AE15)</f>
        <v xml:space="preserve"> </v>
      </c>
      <c r="G15" s="503"/>
      <c r="H15" s="160"/>
      <c r="I15" s="15" t="str">
        <f>+IF(F15="FPA"," ",INDEX($AD$70:$AD$111,AE15))</f>
        <v xml:space="preserve"> </v>
      </c>
      <c r="J15" s="1" t="str">
        <f>+IF(OR(I15=" ",H15=0),"",IF(I15="10 + 3/bed",10+H15*3,IF(I15="2.5 + 7.5/unit",2.5+7.5*H15,IF(I15="10 (MIN 20)",MAX(20,10*H15),IF(I15="15 + 1.25/150m²",15+1.25*ROUNDUP((H15-300)/150,0),H15*I15)))))</f>
        <v/>
      </c>
      <c r="L15" s="109" t="s">
        <v>443</v>
      </c>
      <c r="AE15" s="138">
        <v>1</v>
      </c>
    </row>
    <row r="16" spans="1:31" ht="15" customHeight="1" x14ac:dyDescent="0.25">
      <c r="F16" s="502" t="str">
        <f>INDEX($AC$70:$AC$111,AE16)</f>
        <v xml:space="preserve"> </v>
      </c>
      <c r="G16" s="503"/>
      <c r="H16" s="160"/>
      <c r="I16" s="15" t="str">
        <f>+IF(F16="FPA"," ",INDEX($AD$70:$AD$111,AE16))</f>
        <v xml:space="preserve"> </v>
      </c>
      <c r="J16" s="1" t="str">
        <f>+IF(OR(I16=" ",H16=0),"",IF(I16="10 + 3/bed",10+H16*3,IF(I16="2.5 + 7.5/unit",2.5+7.5*H16,IF(I16="10 (MIN 20)",MAX(20,10*H16),IF(I16="15 + 1.25/150m²",15+1.25*ROUNDUP((H16-300)/150,0),H16*I16)))))</f>
        <v/>
      </c>
      <c r="L16" s="109" t="s">
        <v>444</v>
      </c>
      <c r="AE16" s="138">
        <v>1</v>
      </c>
    </row>
    <row r="17" spans="1:31" x14ac:dyDescent="0.25">
      <c r="E17" s="141" t="str">
        <f>+IF(OR(F14="FPA",F15="FPA",F16="FPA")," Please summarise First Principles Assessment (FPA):","Do not use this line - First Principles Assessment only")</f>
        <v>Do not use this line - First Principles Assessment only</v>
      </c>
      <c r="F17" s="511"/>
      <c r="G17" s="512"/>
      <c r="H17" s="160"/>
      <c r="I17" s="160"/>
      <c r="J17" s="2">
        <f>+IF(I17=" ","",H17*I17)</f>
        <v>0</v>
      </c>
      <c r="K17" s="142"/>
    </row>
    <row r="18" spans="1:31" x14ac:dyDescent="0.25">
      <c r="I18" s="143" t="s">
        <v>36</v>
      </c>
      <c r="J18" s="19">
        <f>SUM(J14:J17)</f>
        <v>0</v>
      </c>
      <c r="K18" s="142"/>
    </row>
    <row r="19" spans="1:31" x14ac:dyDescent="0.25">
      <c r="K19" s="142"/>
    </row>
    <row r="20" spans="1:31" x14ac:dyDescent="0.25">
      <c r="A20" s="135">
        <v>4</v>
      </c>
      <c r="B20" s="137" t="s">
        <v>215</v>
      </c>
      <c r="K20" s="142"/>
    </row>
    <row r="21" spans="1:31" x14ac:dyDescent="0.25">
      <c r="B21" s="486" t="s">
        <v>302</v>
      </c>
      <c r="C21" s="487"/>
      <c r="D21" s="487"/>
      <c r="E21" s="465" t="s">
        <v>195</v>
      </c>
      <c r="F21" s="466"/>
      <c r="G21" s="467"/>
      <c r="H21" s="477" t="s">
        <v>254</v>
      </c>
      <c r="K21" s="142"/>
    </row>
    <row r="22" spans="1:31" ht="15" customHeight="1" x14ac:dyDescent="0.25">
      <c r="B22" s="7" t="s">
        <v>194</v>
      </c>
      <c r="C22" s="7" t="s">
        <v>29</v>
      </c>
      <c r="D22" s="7" t="s">
        <v>105</v>
      </c>
      <c r="E22" s="7" t="s">
        <v>105</v>
      </c>
      <c r="F22" s="3" t="s">
        <v>194</v>
      </c>
      <c r="G22" s="7" t="s">
        <v>29</v>
      </c>
      <c r="H22" s="478"/>
      <c r="K22" s="142"/>
      <c r="AE22" s="138">
        <v>1</v>
      </c>
    </row>
    <row r="23" spans="1:31" ht="15" customHeight="1" x14ac:dyDescent="0.25">
      <c r="B23" s="160"/>
      <c r="C23" s="160"/>
      <c r="D23" s="160"/>
      <c r="E23" s="17" t="str">
        <f>IF(B23=0,"",'June 2009 Summary'!$D$15)</f>
        <v/>
      </c>
      <c r="F23" s="16" t="str">
        <f>IF(B23=0,"",B23/D23*E23)</f>
        <v/>
      </c>
      <c r="G23" s="10" t="str">
        <f>IF(B23=0,"",$M$8)</f>
        <v/>
      </c>
      <c r="H23" s="371" t="str">
        <f>+IF(B23=0,"",F23/$L$8)</f>
        <v/>
      </c>
      <c r="K23" s="142"/>
      <c r="AE23" s="138">
        <v>1</v>
      </c>
    </row>
    <row r="24" spans="1:31" ht="15" customHeight="1" x14ac:dyDescent="0.25">
      <c r="B24" s="160"/>
      <c r="C24" s="160"/>
      <c r="D24" s="160"/>
      <c r="E24" s="17" t="str">
        <f>IF(B24=0,"",'June 2009 Summary'!$D$15)</f>
        <v/>
      </c>
      <c r="F24" s="16" t="str">
        <f>IF(B24=0,"",B24/D24*E24)</f>
        <v/>
      </c>
      <c r="G24" s="10" t="str">
        <f>IF(B24=0,"",$M$8)</f>
        <v/>
      </c>
      <c r="H24" s="371" t="str">
        <f>+IF(B24=0,"",F24/$L$8)</f>
        <v/>
      </c>
      <c r="K24" s="142"/>
      <c r="AE24" s="138">
        <v>1</v>
      </c>
    </row>
    <row r="25" spans="1:31" x14ac:dyDescent="0.25">
      <c r="B25" s="160"/>
      <c r="C25" s="160"/>
      <c r="D25" s="160"/>
      <c r="E25" s="17" t="str">
        <f>IF(B25=0,"",'June 2009 Summary'!$D$15)</f>
        <v/>
      </c>
      <c r="F25" s="16" t="str">
        <f>IF(B25=0,"",B25/D25*E25)</f>
        <v/>
      </c>
      <c r="G25" s="10" t="str">
        <f>IF(B25=0,"",$M$8)</f>
        <v/>
      </c>
      <c r="H25" s="371" t="str">
        <f>+IF(B25=0,"",F25/$L$8)</f>
        <v/>
      </c>
      <c r="K25" s="142"/>
    </row>
    <row r="26" spans="1:31" x14ac:dyDescent="0.25">
      <c r="B26" s="144" t="s">
        <v>303</v>
      </c>
      <c r="G26" s="143" t="s">
        <v>36</v>
      </c>
      <c r="H26" s="371">
        <f>SUM(H23:H25)</f>
        <v>0</v>
      </c>
    </row>
    <row r="27" spans="1:31" x14ac:dyDescent="0.25">
      <c r="G27" s="143"/>
      <c r="H27" s="145"/>
    </row>
    <row r="28" spans="1:31" x14ac:dyDescent="0.25">
      <c r="A28" s="135">
        <v>5</v>
      </c>
      <c r="B28" s="137" t="s">
        <v>216</v>
      </c>
    </row>
    <row r="29" spans="1:31" x14ac:dyDescent="0.25">
      <c r="B29" s="486" t="s">
        <v>304</v>
      </c>
      <c r="C29" s="487"/>
      <c r="D29" s="487"/>
      <c r="E29" s="465" t="s">
        <v>195</v>
      </c>
      <c r="F29" s="466"/>
      <c r="G29" s="467"/>
      <c r="H29" s="477" t="s">
        <v>197</v>
      </c>
    </row>
    <row r="30" spans="1:31" x14ac:dyDescent="0.25">
      <c r="B30" s="7" t="s">
        <v>194</v>
      </c>
      <c r="C30" s="7" t="s">
        <v>29</v>
      </c>
      <c r="D30" s="7" t="s">
        <v>105</v>
      </c>
      <c r="E30" s="7" t="s">
        <v>105</v>
      </c>
      <c r="F30" s="3" t="s">
        <v>194</v>
      </c>
      <c r="G30" s="7" t="s">
        <v>29</v>
      </c>
      <c r="H30" s="478"/>
    </row>
    <row r="31" spans="1:31" x14ac:dyDescent="0.25">
      <c r="B31" s="160"/>
      <c r="C31" s="160"/>
      <c r="D31" s="160"/>
      <c r="E31" s="17" t="str">
        <f>IF(B31=0,"",'June 2009 Summary'!$D$15)</f>
        <v/>
      </c>
      <c r="F31" s="16" t="str">
        <f>IF(B31=0,"",B31/D31*E31)</f>
        <v/>
      </c>
      <c r="G31" s="10" t="str">
        <f>IF(B31=0,"",$M$8)</f>
        <v/>
      </c>
      <c r="H31" s="371" t="str">
        <f>+IF(B31=0,"",F31/$L$9)</f>
        <v/>
      </c>
    </row>
    <row r="32" spans="1:31" x14ac:dyDescent="0.25">
      <c r="B32" s="160"/>
      <c r="C32" s="160"/>
      <c r="D32" s="160"/>
      <c r="E32" s="17" t="str">
        <f>IF(B32=0,"",'June 2009 Summary'!$D$15)</f>
        <v/>
      </c>
      <c r="F32" s="16" t="str">
        <f>IF(B32=0,"",B32/D32*E32)</f>
        <v/>
      </c>
      <c r="G32" s="10" t="str">
        <f>IF(B32=0,"",$M$8)</f>
        <v/>
      </c>
      <c r="H32" s="371" t="str">
        <f>+IF(B32=0,"",F32/$L$9)</f>
        <v/>
      </c>
    </row>
    <row r="33" spans="1:15" x14ac:dyDescent="0.25">
      <c r="B33" s="160"/>
      <c r="C33" s="160"/>
      <c r="D33" s="160"/>
      <c r="E33" s="17" t="str">
        <f>IF(B33=0,"",'June 2009 Summary'!$D$15)</f>
        <v/>
      </c>
      <c r="F33" s="16" t="str">
        <f>IF(B33=0,"",B33/D33*E33)</f>
        <v/>
      </c>
      <c r="G33" s="10" t="str">
        <f>IF(B33=0,"",$M$8)</f>
        <v/>
      </c>
      <c r="H33" s="371" t="str">
        <f>+IF(B33=0,"",F33/$L$9)</f>
        <v/>
      </c>
    </row>
    <row r="34" spans="1:15" x14ac:dyDescent="0.25">
      <c r="B34" s="144" t="s">
        <v>305</v>
      </c>
      <c r="G34" s="143" t="s">
        <v>36</v>
      </c>
      <c r="H34" s="372">
        <f>SUM(H31:H33)</f>
        <v>0</v>
      </c>
    </row>
    <row r="35" spans="1:15" x14ac:dyDescent="0.25">
      <c r="G35" s="143"/>
      <c r="H35" s="145"/>
    </row>
    <row r="36" spans="1:15" x14ac:dyDescent="0.25">
      <c r="A36" s="135">
        <v>6</v>
      </c>
      <c r="B36" s="137" t="s">
        <v>217</v>
      </c>
      <c r="G36" s="143"/>
      <c r="H36" s="145"/>
    </row>
    <row r="37" spans="1:15" x14ac:dyDescent="0.25">
      <c r="B37" s="146" t="s">
        <v>196</v>
      </c>
      <c r="G37" s="143"/>
      <c r="H37" s="145"/>
      <c r="I37" s="145"/>
      <c r="J37" s="147"/>
    </row>
    <row r="38" spans="1:15" x14ac:dyDescent="0.25">
      <c r="B38" s="477" t="s">
        <v>29</v>
      </c>
      <c r="C38" s="479" t="s">
        <v>200</v>
      </c>
      <c r="D38" s="480"/>
      <c r="E38" s="480"/>
      <c r="F38" s="480"/>
      <c r="G38" s="481"/>
      <c r="H38" s="486" t="s">
        <v>307</v>
      </c>
      <c r="I38" s="487"/>
      <c r="J38" s="487"/>
      <c r="K38" s="487"/>
    </row>
    <row r="39" spans="1:15" ht="29.25" customHeight="1" x14ac:dyDescent="0.25">
      <c r="B39" s="478"/>
      <c r="C39" s="482"/>
      <c r="D39" s="483"/>
      <c r="E39" s="483"/>
      <c r="F39" s="483"/>
      <c r="G39" s="484"/>
      <c r="H39" s="513" t="s">
        <v>201</v>
      </c>
      <c r="I39" s="513"/>
      <c r="J39" s="513" t="s">
        <v>106</v>
      </c>
      <c r="K39" s="513"/>
    </row>
    <row r="40" spans="1:15" x14ac:dyDescent="0.25">
      <c r="B40" s="160"/>
      <c r="C40" s="489"/>
      <c r="D40" s="489"/>
      <c r="E40" s="489"/>
      <c r="F40" s="489"/>
      <c r="G40" s="489"/>
      <c r="H40" s="488"/>
      <c r="I40" s="488"/>
      <c r="J40" s="514"/>
      <c r="K40" s="514"/>
    </row>
    <row r="41" spans="1:15" x14ac:dyDescent="0.25">
      <c r="B41" s="160"/>
      <c r="C41" s="489"/>
      <c r="D41" s="489"/>
      <c r="E41" s="489"/>
      <c r="F41" s="489"/>
      <c r="G41" s="489"/>
      <c r="H41" s="488"/>
      <c r="I41" s="488"/>
      <c r="J41" s="514"/>
      <c r="K41" s="514"/>
    </row>
    <row r="42" spans="1:15" x14ac:dyDescent="0.25">
      <c r="B42" s="160"/>
      <c r="C42" s="489"/>
      <c r="D42" s="489"/>
      <c r="E42" s="489"/>
      <c r="F42" s="489"/>
      <c r="G42" s="489"/>
      <c r="H42" s="488"/>
      <c r="I42" s="488"/>
      <c r="J42" s="514"/>
      <c r="K42" s="514"/>
    </row>
    <row r="43" spans="1:15" x14ac:dyDescent="0.25">
      <c r="G43" s="143" t="s">
        <v>36</v>
      </c>
      <c r="H43" s="485">
        <f>SUM(H40:H42)</f>
        <v>0</v>
      </c>
      <c r="I43" s="485"/>
      <c r="J43" s="485">
        <f>SUM(J40:K42)</f>
        <v>0</v>
      </c>
      <c r="K43" s="485"/>
    </row>
    <row r="44" spans="1:15" x14ac:dyDescent="0.25">
      <c r="H44" s="144" t="s">
        <v>306</v>
      </c>
      <c r="O44" s="143"/>
    </row>
    <row r="45" spans="1:15" x14ac:dyDescent="0.25">
      <c r="A45" s="109">
        <v>7</v>
      </c>
      <c r="B45" s="137" t="s">
        <v>261</v>
      </c>
      <c r="E45" s="148"/>
      <c r="J45" s="137"/>
      <c r="M45" s="148"/>
    </row>
    <row r="46" spans="1:15" x14ac:dyDescent="0.25">
      <c r="B46" s="479" t="s">
        <v>262</v>
      </c>
      <c r="C46" s="480"/>
      <c r="D46" s="480"/>
      <c r="E46" s="480"/>
      <c r="F46" s="481"/>
      <c r="G46" s="23" t="s">
        <v>268</v>
      </c>
      <c r="K46" s="149"/>
      <c r="L46" s="150"/>
      <c r="M46" s="151"/>
    </row>
    <row r="47" spans="1:15" ht="15" x14ac:dyDescent="0.4">
      <c r="B47" s="482"/>
      <c r="C47" s="483"/>
      <c r="D47" s="483"/>
      <c r="E47" s="483"/>
      <c r="F47" s="484"/>
      <c r="G47" s="24" t="str">
        <f>+M8</f>
        <v>Jun '09</v>
      </c>
      <c r="H47" s="152"/>
      <c r="L47" s="153"/>
      <c r="M47" s="154"/>
    </row>
    <row r="48" spans="1:15" x14ac:dyDescent="0.25">
      <c r="B48" s="490" t="s">
        <v>269</v>
      </c>
      <c r="C48" s="491"/>
      <c r="D48" s="494" t="s">
        <v>270</v>
      </c>
      <c r="E48" s="495"/>
      <c r="F48" s="496"/>
      <c r="G48" s="499">
        <f>+IF(J18&gt;(H26+H43),L8*(J18-H26-H43),0)</f>
        <v>0</v>
      </c>
      <c r="H48" s="150" t="str">
        <f>+IF(J18&lt;(H26+H43),"Excess credit may be used to offset Hs of further development on this land (Policy s11(4))","")</f>
        <v/>
      </c>
      <c r="J48" s="137"/>
      <c r="M48" s="155"/>
      <c r="N48" s="155"/>
    </row>
    <row r="49" spans="2:15" x14ac:dyDescent="0.25">
      <c r="B49" s="492"/>
      <c r="C49" s="493"/>
      <c r="D49" s="497"/>
      <c r="E49" s="497"/>
      <c r="F49" s="498"/>
      <c r="G49" s="500"/>
      <c r="K49" s="149"/>
      <c r="L49" s="150"/>
      <c r="M49" s="155"/>
    </row>
    <row r="50" spans="2:15" x14ac:dyDescent="0.25">
      <c r="B50" s="490" t="s">
        <v>271</v>
      </c>
      <c r="C50" s="491"/>
      <c r="D50" s="494" t="s">
        <v>272</v>
      </c>
      <c r="E50" s="495"/>
      <c r="F50" s="496"/>
      <c r="G50" s="499">
        <f>+IF(J18&gt;(H34+J43),L9*(J18-H34-J43),0)</f>
        <v>0</v>
      </c>
      <c r="H50" s="150" t="str">
        <f>+IF(J18&lt;(H34+J43),"Excess credit may be used to offset Ht of further development on this land (Policy s11(4))","")</f>
        <v/>
      </c>
      <c r="O50" s="156"/>
    </row>
    <row r="51" spans="2:15" x14ac:dyDescent="0.25">
      <c r="B51" s="492"/>
      <c r="C51" s="493"/>
      <c r="D51" s="497"/>
      <c r="E51" s="497"/>
      <c r="F51" s="498"/>
      <c r="G51" s="501"/>
      <c r="N51" s="157"/>
    </row>
    <row r="52" spans="2:15" x14ac:dyDescent="0.25">
      <c r="B52" s="150"/>
      <c r="C52" s="150"/>
      <c r="D52" s="150"/>
      <c r="E52" s="150"/>
      <c r="F52" s="150"/>
      <c r="G52" s="150"/>
      <c r="H52" s="150" t="str">
        <f>+IF(G52&lt;0,"Excess credit may be used to offset Hm of further development on this land (Policy s12(4))","")</f>
        <v/>
      </c>
    </row>
    <row r="53" spans="2:15" x14ac:dyDescent="0.25">
      <c r="B53" s="150"/>
      <c r="C53" s="150"/>
      <c r="D53" s="150"/>
      <c r="E53" s="150"/>
      <c r="F53" s="150"/>
      <c r="G53" s="150"/>
    </row>
    <row r="60" spans="2:15" x14ac:dyDescent="0.25">
      <c r="B60" s="158" t="s">
        <v>42</v>
      </c>
    </row>
    <row r="62" spans="2:15" x14ac:dyDescent="0.25">
      <c r="B62" s="462" t="s">
        <v>30</v>
      </c>
      <c r="C62" s="463"/>
      <c r="D62" s="463"/>
      <c r="E62" s="464"/>
    </row>
    <row r="63" spans="2:15" x14ac:dyDescent="0.25">
      <c r="B63" s="20" t="s">
        <v>35</v>
      </c>
      <c r="C63" s="21"/>
      <c r="D63" s="21"/>
      <c r="E63" s="22"/>
    </row>
    <row r="64" spans="2:15" x14ac:dyDescent="0.25">
      <c r="B64" s="167" t="s">
        <v>198</v>
      </c>
      <c r="C64" s="168"/>
      <c r="D64" s="168"/>
      <c r="E64" s="169"/>
    </row>
    <row r="65" spans="2:30" x14ac:dyDescent="0.25">
      <c r="B65" s="85" t="s">
        <v>199</v>
      </c>
      <c r="C65" s="170"/>
      <c r="D65" s="170"/>
      <c r="E65" s="171"/>
    </row>
    <row r="68" spans="2:30" ht="12.75" customHeight="1" x14ac:dyDescent="0.25">
      <c r="B68" s="465" t="s">
        <v>97</v>
      </c>
      <c r="C68" s="466"/>
      <c r="D68" s="466"/>
      <c r="E68" s="466"/>
      <c r="F68" s="467"/>
      <c r="H68" s="474" t="s">
        <v>98</v>
      </c>
      <c r="I68" s="475"/>
      <c r="J68" s="475"/>
      <c r="K68" s="475"/>
      <c r="L68" s="476"/>
      <c r="M68" s="159"/>
      <c r="N68" s="474" t="s">
        <v>99</v>
      </c>
      <c r="O68" s="475"/>
      <c r="P68" s="475"/>
      <c r="Q68" s="475"/>
      <c r="R68" s="476"/>
      <c r="T68" s="474" t="s">
        <v>185</v>
      </c>
      <c r="U68" s="475"/>
      <c r="V68" s="475"/>
      <c r="W68" s="475"/>
      <c r="X68" s="476"/>
      <c r="Z68" s="465" t="s">
        <v>43</v>
      </c>
      <c r="AA68" s="466"/>
      <c r="AB68" s="466"/>
      <c r="AC68" s="466"/>
      <c r="AD68" s="467"/>
    </row>
    <row r="69" spans="2:30" x14ac:dyDescent="0.25">
      <c r="B69" s="468" t="s">
        <v>88</v>
      </c>
      <c r="C69" s="469"/>
      <c r="D69" s="470"/>
      <c r="E69" s="81" t="s">
        <v>17</v>
      </c>
      <c r="F69" s="90" t="s">
        <v>110</v>
      </c>
      <c r="H69" s="471" t="s">
        <v>16</v>
      </c>
      <c r="I69" s="472"/>
      <c r="J69" s="473"/>
      <c r="K69" s="162" t="s">
        <v>17</v>
      </c>
      <c r="L69" s="83" t="s">
        <v>110</v>
      </c>
      <c r="N69" s="471" t="s">
        <v>136</v>
      </c>
      <c r="O69" s="472"/>
      <c r="P69" s="473"/>
      <c r="Q69" s="162" t="s">
        <v>17</v>
      </c>
      <c r="R69" s="83" t="s">
        <v>110</v>
      </c>
      <c r="T69" s="81" t="s">
        <v>86</v>
      </c>
      <c r="U69" s="89"/>
      <c r="V69" s="89"/>
      <c r="W69" s="82"/>
      <c r="X69" s="90" t="s">
        <v>87</v>
      </c>
      <c r="Z69" s="462" t="str">
        <f>IF($AE$3=1,B69,N69)</f>
        <v>Item</v>
      </c>
      <c r="AA69" s="463"/>
      <c r="AB69" s="464"/>
      <c r="AC69" s="165" t="str">
        <f>IF($AE$3=1,E69,Q69)</f>
        <v>Unit</v>
      </c>
      <c r="AD69" s="166" t="str">
        <f>IF($AE$3=1,F69,R69)</f>
        <v>SU/unit</v>
      </c>
    </row>
    <row r="70" spans="2:30" x14ac:dyDescent="0.25">
      <c r="B70" s="20"/>
      <c r="C70" s="21"/>
      <c r="D70" s="21"/>
      <c r="E70" s="176"/>
      <c r="F70" s="173"/>
      <c r="H70" s="20" t="s">
        <v>35</v>
      </c>
      <c r="I70" s="21"/>
      <c r="J70" s="22"/>
      <c r="K70" s="173"/>
      <c r="L70" s="173"/>
      <c r="N70" s="20" t="s">
        <v>35</v>
      </c>
      <c r="O70" s="21"/>
      <c r="P70" s="21"/>
      <c r="Q70" s="173" t="s">
        <v>35</v>
      </c>
      <c r="R70" s="179" t="s">
        <v>35</v>
      </c>
      <c r="T70" s="20" t="s">
        <v>35</v>
      </c>
      <c r="U70" s="21"/>
      <c r="V70" s="21"/>
      <c r="W70" s="180"/>
      <c r="X70" s="173"/>
      <c r="Z70" s="183" t="s">
        <v>35</v>
      </c>
      <c r="AA70" s="184"/>
      <c r="AB70" s="185"/>
      <c r="AC70" s="186" t="s">
        <v>35</v>
      </c>
      <c r="AD70" s="187" t="s">
        <v>35</v>
      </c>
    </row>
    <row r="71" spans="2:30" x14ac:dyDescent="0.25">
      <c r="B71" s="167" t="s">
        <v>107</v>
      </c>
      <c r="C71" s="168"/>
      <c r="D71" s="168"/>
      <c r="E71" s="177" t="s">
        <v>18</v>
      </c>
      <c r="F71" s="174">
        <v>10</v>
      </c>
      <c r="H71" s="167" t="s">
        <v>107</v>
      </c>
      <c r="I71" s="168"/>
      <c r="J71" s="169"/>
      <c r="K71" s="174" t="s">
        <v>19</v>
      </c>
      <c r="L71" s="174">
        <v>95</v>
      </c>
      <c r="N71" s="167" t="s">
        <v>165</v>
      </c>
      <c r="O71" s="168"/>
      <c r="P71" s="168"/>
      <c r="Q71" s="174" t="s">
        <v>164</v>
      </c>
      <c r="R71" s="174" t="s">
        <v>166</v>
      </c>
      <c r="T71" s="167" t="s">
        <v>51</v>
      </c>
      <c r="U71" s="168"/>
      <c r="V71" s="168"/>
      <c r="W71" s="181"/>
      <c r="X71" s="174">
        <v>3</v>
      </c>
      <c r="Z71" s="188" t="str">
        <f t="shared" ref="Z71:Z111" si="0">IF($AE$3=2,B71,N71)</f>
        <v>Accomodation units</v>
      </c>
      <c r="AA71" s="189"/>
      <c r="AB71" s="190"/>
      <c r="AC71" s="191" t="str">
        <f t="shared" ref="AC71:AC111" si="1">IF($AE$3=2,E71,Q71)</f>
        <v>bed</v>
      </c>
      <c r="AD71" s="192" t="str">
        <f t="shared" ref="AD71:AD111" si="2">IF($AE$3=2,F71,R71)</f>
        <v>10 + 3/bed</v>
      </c>
    </row>
    <row r="72" spans="2:30" x14ac:dyDescent="0.25">
      <c r="B72" s="167" t="s">
        <v>108</v>
      </c>
      <c r="C72" s="168"/>
      <c r="D72" s="168"/>
      <c r="E72" s="177" t="s">
        <v>18</v>
      </c>
      <c r="F72" s="174">
        <v>10</v>
      </c>
      <c r="H72" s="167" t="s">
        <v>108</v>
      </c>
      <c r="I72" s="168"/>
      <c r="J72" s="169"/>
      <c r="K72" s="174" t="s">
        <v>19</v>
      </c>
      <c r="L72" s="174">
        <v>95</v>
      </c>
      <c r="N72" s="167" t="s">
        <v>35</v>
      </c>
      <c r="O72" s="168"/>
      <c r="P72" s="168"/>
      <c r="Q72" s="174" t="s">
        <v>35</v>
      </c>
      <c r="R72" s="174" t="s">
        <v>35</v>
      </c>
      <c r="T72" s="167" t="s">
        <v>52</v>
      </c>
      <c r="U72" s="168"/>
      <c r="V72" s="168"/>
      <c r="W72" s="181"/>
      <c r="X72" s="174">
        <v>3</v>
      </c>
      <c r="Z72" s="188" t="str">
        <f t="shared" si="0"/>
        <v xml:space="preserve"> </v>
      </c>
      <c r="AA72" s="189"/>
      <c r="AB72" s="190"/>
      <c r="AC72" s="191" t="str">
        <f t="shared" si="1"/>
        <v xml:space="preserve"> </v>
      </c>
      <c r="AD72" s="192" t="str">
        <f t="shared" si="2"/>
        <v xml:space="preserve"> </v>
      </c>
    </row>
    <row r="73" spans="2:30" x14ac:dyDescent="0.25">
      <c r="B73" s="167" t="s">
        <v>109</v>
      </c>
      <c r="C73" s="168"/>
      <c r="D73" s="168"/>
      <c r="E73" s="177" t="s">
        <v>18</v>
      </c>
      <c r="F73" s="174">
        <v>28</v>
      </c>
      <c r="H73" s="167" t="s">
        <v>109</v>
      </c>
      <c r="I73" s="168"/>
      <c r="J73" s="169"/>
      <c r="K73" s="174" t="s">
        <v>19</v>
      </c>
      <c r="L73" s="174">
        <v>80</v>
      </c>
      <c r="N73" s="167" t="s">
        <v>137</v>
      </c>
      <c r="O73" s="168"/>
      <c r="P73" s="168"/>
      <c r="Q73" s="174" t="s">
        <v>20</v>
      </c>
      <c r="R73" s="174"/>
      <c r="T73" s="167" t="s">
        <v>53</v>
      </c>
      <c r="U73" s="168"/>
      <c r="V73" s="168"/>
      <c r="W73" s="181"/>
      <c r="X73" s="174">
        <v>1</v>
      </c>
      <c r="Z73" s="188" t="str">
        <f t="shared" si="0"/>
        <v>Agriculture</v>
      </c>
      <c r="AA73" s="189"/>
      <c r="AB73" s="190"/>
      <c r="AC73" s="191" t="str">
        <f t="shared" si="1"/>
        <v>FPA</v>
      </c>
      <c r="AD73" s="192">
        <f t="shared" si="2"/>
        <v>0</v>
      </c>
    </row>
    <row r="74" spans="2:30" x14ac:dyDescent="0.25">
      <c r="B74" s="167" t="s">
        <v>111</v>
      </c>
      <c r="C74" s="168"/>
      <c r="D74" s="168"/>
      <c r="E74" s="177" t="s">
        <v>20</v>
      </c>
      <c r="F74" s="174" t="s">
        <v>20</v>
      </c>
      <c r="H74" s="167" t="s">
        <v>111</v>
      </c>
      <c r="I74" s="168"/>
      <c r="J74" s="169"/>
      <c r="K74" s="174" t="s">
        <v>19</v>
      </c>
      <c r="L74" s="174" t="s">
        <v>20</v>
      </c>
      <c r="N74" s="167" t="s">
        <v>138</v>
      </c>
      <c r="O74" s="168"/>
      <c r="P74" s="168"/>
      <c r="Q74" s="198" t="s">
        <v>324</v>
      </c>
      <c r="R74" s="174">
        <v>10</v>
      </c>
      <c r="T74" s="167" t="s">
        <v>54</v>
      </c>
      <c r="U74" s="168"/>
      <c r="V74" s="168"/>
      <c r="W74" s="181"/>
      <c r="X74" s="174">
        <v>3</v>
      </c>
      <c r="Z74" s="188" t="str">
        <f t="shared" si="0"/>
        <v>Animal Husbandry</v>
      </c>
      <c r="AA74" s="189"/>
      <c r="AB74" s="190"/>
      <c r="AC74" s="191" t="str">
        <f t="shared" si="1"/>
        <v>100m² RFA</v>
      </c>
      <c r="AD74" s="192">
        <f t="shared" si="2"/>
        <v>10</v>
      </c>
    </row>
    <row r="75" spans="2:30" x14ac:dyDescent="0.25">
      <c r="B75" s="167" t="s">
        <v>112</v>
      </c>
      <c r="C75" s="168"/>
      <c r="D75" s="168"/>
      <c r="E75" s="177" t="s">
        <v>20</v>
      </c>
      <c r="F75" s="174" t="s">
        <v>20</v>
      </c>
      <c r="H75" s="167" t="s">
        <v>112</v>
      </c>
      <c r="I75" s="168"/>
      <c r="J75" s="169"/>
      <c r="K75" s="174" t="s">
        <v>19</v>
      </c>
      <c r="L75" s="174" t="s">
        <v>20</v>
      </c>
      <c r="N75" s="167" t="s">
        <v>139</v>
      </c>
      <c r="O75" s="168"/>
      <c r="P75" s="168"/>
      <c r="Q75" s="174" t="s">
        <v>20</v>
      </c>
      <c r="R75" s="174"/>
      <c r="T75" s="167" t="s">
        <v>55</v>
      </c>
      <c r="U75" s="168"/>
      <c r="V75" s="168"/>
      <c r="W75" s="181"/>
      <c r="X75" s="174">
        <v>1</v>
      </c>
      <c r="Z75" s="188" t="str">
        <f t="shared" si="0"/>
        <v>Aquiculture</v>
      </c>
      <c r="AA75" s="189"/>
      <c r="AB75" s="190"/>
      <c r="AC75" s="191" t="str">
        <f t="shared" si="1"/>
        <v>FPA</v>
      </c>
      <c r="AD75" s="192">
        <f t="shared" si="2"/>
        <v>0</v>
      </c>
    </row>
    <row r="76" spans="2:30" x14ac:dyDescent="0.25">
      <c r="B76" s="167" t="s">
        <v>125</v>
      </c>
      <c r="C76" s="168"/>
      <c r="D76" s="168"/>
      <c r="E76" s="177" t="s">
        <v>18</v>
      </c>
      <c r="F76" s="174">
        <v>10</v>
      </c>
      <c r="H76" s="167" t="s">
        <v>113</v>
      </c>
      <c r="I76" s="168"/>
      <c r="J76" s="169"/>
      <c r="K76" s="174" t="s">
        <v>19</v>
      </c>
      <c r="L76" s="174">
        <v>37.5</v>
      </c>
      <c r="N76" s="167" t="s">
        <v>170</v>
      </c>
      <c r="O76" s="168"/>
      <c r="P76" s="168"/>
      <c r="Q76" s="174" t="s">
        <v>169</v>
      </c>
      <c r="R76" s="174">
        <v>10</v>
      </c>
      <c r="T76" s="167" t="s">
        <v>56</v>
      </c>
      <c r="U76" s="168"/>
      <c r="V76" s="168"/>
      <c r="W76" s="181"/>
      <c r="X76" s="174">
        <v>1</v>
      </c>
      <c r="Z76" s="188" t="str">
        <f t="shared" si="0"/>
        <v>Bulk Store &lt; 150m² roofed floor area</v>
      </c>
      <c r="AA76" s="189"/>
      <c r="AB76" s="190"/>
      <c r="AC76" s="191" t="str">
        <f t="shared" si="1"/>
        <v>store</v>
      </c>
      <c r="AD76" s="192">
        <f t="shared" si="2"/>
        <v>10</v>
      </c>
    </row>
    <row r="77" spans="2:30" x14ac:dyDescent="0.25">
      <c r="B77" s="167" t="s">
        <v>124</v>
      </c>
      <c r="C77" s="168"/>
      <c r="D77" s="168"/>
      <c r="E77" s="177" t="s">
        <v>19</v>
      </c>
      <c r="F77" s="174">
        <v>37.5</v>
      </c>
      <c r="H77" s="167" t="s">
        <v>26</v>
      </c>
      <c r="I77" s="168"/>
      <c r="J77" s="169"/>
      <c r="K77" s="174" t="s">
        <v>19</v>
      </c>
      <c r="L77" s="174">
        <v>37.5</v>
      </c>
      <c r="N77" s="167" t="s">
        <v>168</v>
      </c>
      <c r="O77" s="168"/>
      <c r="P77" s="168"/>
      <c r="Q77" s="174" t="s">
        <v>169</v>
      </c>
      <c r="R77" s="174">
        <v>15</v>
      </c>
      <c r="T77" s="167" t="s">
        <v>57</v>
      </c>
      <c r="U77" s="168"/>
      <c r="V77" s="168"/>
      <c r="W77" s="181"/>
      <c r="X77" s="174">
        <v>4</v>
      </c>
      <c r="Z77" s="188" t="str">
        <f t="shared" si="0"/>
        <v>Bulk Store (150m² - 300m² roofed floor area)</v>
      </c>
      <c r="AA77" s="189"/>
      <c r="AB77" s="190"/>
      <c r="AC77" s="191" t="str">
        <f t="shared" si="1"/>
        <v>store</v>
      </c>
      <c r="AD77" s="192">
        <f t="shared" si="2"/>
        <v>15</v>
      </c>
    </row>
    <row r="78" spans="2:30" x14ac:dyDescent="0.25">
      <c r="B78" s="167" t="s">
        <v>123</v>
      </c>
      <c r="C78" s="168"/>
      <c r="D78" s="168"/>
      <c r="E78" s="177" t="s">
        <v>18</v>
      </c>
      <c r="F78" s="174">
        <v>10</v>
      </c>
      <c r="H78" s="167" t="s">
        <v>114</v>
      </c>
      <c r="I78" s="168"/>
      <c r="J78" s="169"/>
      <c r="K78" s="174" t="s">
        <v>19</v>
      </c>
      <c r="L78" s="174">
        <v>37.5</v>
      </c>
      <c r="N78" s="167" t="s">
        <v>167</v>
      </c>
      <c r="O78" s="168"/>
      <c r="P78" s="168"/>
      <c r="Q78" s="199" t="s">
        <v>325</v>
      </c>
      <c r="R78" s="174" t="s">
        <v>181</v>
      </c>
      <c r="T78" s="167" t="s">
        <v>58</v>
      </c>
      <c r="U78" s="168"/>
      <c r="V78" s="168"/>
      <c r="W78" s="181"/>
      <c r="X78" s="174">
        <v>4</v>
      </c>
      <c r="Z78" s="188" t="str">
        <f t="shared" si="0"/>
        <v>Bulk Store &gt; 300m² roofed floor area</v>
      </c>
      <c r="AA78" s="189"/>
      <c r="AB78" s="190"/>
      <c r="AC78" s="191" t="str">
        <f t="shared" si="1"/>
        <v xml:space="preserve">RFA (m²) </v>
      </c>
      <c r="AD78" s="192" t="str">
        <f t="shared" si="2"/>
        <v>15 + 1.25/150m²</v>
      </c>
    </row>
    <row r="79" spans="2:30" x14ac:dyDescent="0.25">
      <c r="B79" s="167" t="s">
        <v>122</v>
      </c>
      <c r="C79" s="168"/>
      <c r="D79" s="168"/>
      <c r="E79" s="177" t="s">
        <v>19</v>
      </c>
      <c r="F79" s="174">
        <v>37.5</v>
      </c>
      <c r="H79" s="167" t="s">
        <v>115</v>
      </c>
      <c r="I79" s="168"/>
      <c r="J79" s="169"/>
      <c r="K79" s="174" t="s">
        <v>19</v>
      </c>
      <c r="L79" s="174">
        <v>75</v>
      </c>
      <c r="N79" s="167" t="s">
        <v>140</v>
      </c>
      <c r="O79" s="168"/>
      <c r="P79" s="168"/>
      <c r="Q79" s="174" t="s">
        <v>171</v>
      </c>
      <c r="R79" s="174">
        <v>5</v>
      </c>
      <c r="T79" s="167" t="s">
        <v>59</v>
      </c>
      <c r="U79" s="168"/>
      <c r="V79" s="168"/>
      <c r="W79" s="181"/>
      <c r="X79" s="174">
        <v>6</v>
      </c>
      <c r="Z79" s="188" t="str">
        <f t="shared" si="0"/>
        <v>Caravan Park (van bay)</v>
      </c>
      <c r="AA79" s="189"/>
      <c r="AB79" s="190"/>
      <c r="AC79" s="191" t="str">
        <f t="shared" si="1"/>
        <v>bay</v>
      </c>
      <c r="AD79" s="192">
        <f t="shared" si="2"/>
        <v>5</v>
      </c>
    </row>
    <row r="80" spans="2:30" x14ac:dyDescent="0.25">
      <c r="B80" s="167" t="s">
        <v>126</v>
      </c>
      <c r="C80" s="168"/>
      <c r="D80" s="168"/>
      <c r="E80" s="177" t="s">
        <v>18</v>
      </c>
      <c r="F80" s="174">
        <v>10</v>
      </c>
      <c r="H80" s="167" t="s">
        <v>116</v>
      </c>
      <c r="I80" s="168"/>
      <c r="J80" s="169"/>
      <c r="K80" s="174" t="s">
        <v>19</v>
      </c>
      <c r="L80" s="174">
        <v>75</v>
      </c>
      <c r="N80" s="167" t="s">
        <v>141</v>
      </c>
      <c r="O80" s="168"/>
      <c r="P80" s="168"/>
      <c r="Q80" s="174" t="s">
        <v>172</v>
      </c>
      <c r="R80" s="174">
        <v>3</v>
      </c>
      <c r="T80" s="167" t="s">
        <v>60</v>
      </c>
      <c r="U80" s="168"/>
      <c r="V80" s="168"/>
      <c r="W80" s="181"/>
      <c r="X80" s="174">
        <v>1</v>
      </c>
      <c r="Z80" s="188" t="str">
        <f t="shared" si="0"/>
        <v>Caravan Park (camp site)</v>
      </c>
      <c r="AA80" s="189"/>
      <c r="AB80" s="190"/>
      <c r="AC80" s="191" t="str">
        <f t="shared" si="1"/>
        <v>camp site</v>
      </c>
      <c r="AD80" s="192">
        <f t="shared" si="2"/>
        <v>3</v>
      </c>
    </row>
    <row r="81" spans="2:30" x14ac:dyDescent="0.25">
      <c r="B81" s="167" t="s">
        <v>127</v>
      </c>
      <c r="C81" s="168"/>
      <c r="D81" s="168"/>
      <c r="E81" s="177" t="s">
        <v>19</v>
      </c>
      <c r="F81" s="174">
        <v>37.5</v>
      </c>
      <c r="H81" s="167" t="s">
        <v>117</v>
      </c>
      <c r="I81" s="168"/>
      <c r="J81" s="169"/>
      <c r="K81" s="174" t="s">
        <v>19</v>
      </c>
      <c r="L81" s="174">
        <v>75</v>
      </c>
      <c r="N81" s="167" t="s">
        <v>95</v>
      </c>
      <c r="O81" s="168"/>
      <c r="P81" s="168"/>
      <c r="Q81" s="174" t="s">
        <v>173</v>
      </c>
      <c r="R81" s="174">
        <v>10</v>
      </c>
      <c r="T81" s="167" t="s">
        <v>61</v>
      </c>
      <c r="U81" s="168"/>
      <c r="V81" s="168"/>
      <c r="W81" s="181"/>
      <c r="X81" s="174">
        <v>4</v>
      </c>
      <c r="Z81" s="188" t="str">
        <f t="shared" si="0"/>
        <v>Caretaker's Residence</v>
      </c>
      <c r="AA81" s="189"/>
      <c r="AB81" s="190"/>
      <c r="AC81" s="191" t="str">
        <f t="shared" si="1"/>
        <v>residential unit</v>
      </c>
      <c r="AD81" s="192">
        <f t="shared" si="2"/>
        <v>10</v>
      </c>
    </row>
    <row r="82" spans="2:30" x14ac:dyDescent="0.25">
      <c r="B82" s="167" t="s">
        <v>128</v>
      </c>
      <c r="C82" s="168"/>
      <c r="D82" s="168"/>
      <c r="E82" s="177" t="s">
        <v>18</v>
      </c>
      <c r="F82" s="174">
        <v>20</v>
      </c>
      <c r="H82" s="167" t="s">
        <v>118</v>
      </c>
      <c r="I82" s="168"/>
      <c r="J82" s="169"/>
      <c r="K82" s="174" t="s">
        <v>19</v>
      </c>
      <c r="L82" s="174">
        <v>75</v>
      </c>
      <c r="N82" s="167" t="s">
        <v>142</v>
      </c>
      <c r="O82" s="168"/>
      <c r="P82" s="168"/>
      <c r="Q82" s="198" t="s">
        <v>324</v>
      </c>
      <c r="R82" s="174">
        <v>10</v>
      </c>
      <c r="T82" s="167" t="s">
        <v>62</v>
      </c>
      <c r="U82" s="168"/>
      <c r="V82" s="168"/>
      <c r="W82" s="181"/>
      <c r="X82" s="174">
        <v>1</v>
      </c>
      <c r="Z82" s="188" t="str">
        <f t="shared" si="0"/>
        <v>Caterer's Rooms</v>
      </c>
      <c r="AA82" s="189"/>
      <c r="AB82" s="190"/>
      <c r="AC82" s="191" t="str">
        <f t="shared" si="1"/>
        <v>100m² RFA</v>
      </c>
      <c r="AD82" s="192">
        <f t="shared" si="2"/>
        <v>10</v>
      </c>
    </row>
    <row r="83" spans="2:30" x14ac:dyDescent="0.25">
      <c r="B83" s="167" t="s">
        <v>129</v>
      </c>
      <c r="C83" s="168"/>
      <c r="D83" s="168"/>
      <c r="E83" s="177" t="s">
        <v>19</v>
      </c>
      <c r="F83" s="174">
        <v>75</v>
      </c>
      <c r="H83" s="167" t="s">
        <v>119</v>
      </c>
      <c r="I83" s="168"/>
      <c r="J83" s="169"/>
      <c r="K83" s="174"/>
      <c r="L83" s="174" t="s">
        <v>20</v>
      </c>
      <c r="N83" s="167" t="s">
        <v>143</v>
      </c>
      <c r="O83" s="168"/>
      <c r="P83" s="168"/>
      <c r="Q83" s="198" t="s">
        <v>324</v>
      </c>
      <c r="R83" s="174">
        <v>10</v>
      </c>
      <c r="T83" s="167" t="s">
        <v>63</v>
      </c>
      <c r="U83" s="168"/>
      <c r="V83" s="168"/>
      <c r="W83" s="181"/>
      <c r="X83" s="174">
        <v>5</v>
      </c>
      <c r="Z83" s="188" t="str">
        <f t="shared" si="0"/>
        <v>Child Care Center</v>
      </c>
      <c r="AA83" s="189"/>
      <c r="AB83" s="190"/>
      <c r="AC83" s="191" t="str">
        <f t="shared" si="1"/>
        <v>100m² RFA</v>
      </c>
      <c r="AD83" s="192">
        <f t="shared" si="2"/>
        <v>10</v>
      </c>
    </row>
    <row r="84" spans="2:30" x14ac:dyDescent="0.25">
      <c r="B84" s="167" t="s">
        <v>130</v>
      </c>
      <c r="C84" s="168"/>
      <c r="D84" s="168"/>
      <c r="E84" s="177" t="s">
        <v>18</v>
      </c>
      <c r="F84" s="174">
        <v>20</v>
      </c>
      <c r="H84" s="167" t="s">
        <v>120</v>
      </c>
      <c r="I84" s="168"/>
      <c r="J84" s="169"/>
      <c r="K84" s="174"/>
      <c r="L84" s="174" t="s">
        <v>20</v>
      </c>
      <c r="N84" s="167" t="s">
        <v>144</v>
      </c>
      <c r="O84" s="168"/>
      <c r="P84" s="168"/>
      <c r="Q84" s="174" t="s">
        <v>174</v>
      </c>
      <c r="R84" s="174">
        <v>10</v>
      </c>
      <c r="T84" s="167" t="s">
        <v>64</v>
      </c>
      <c r="U84" s="168"/>
      <c r="V84" s="168"/>
      <c r="W84" s="181"/>
      <c r="X84" s="174">
        <v>6</v>
      </c>
      <c r="Z84" s="188" t="str">
        <f t="shared" si="0"/>
        <v>Display Home</v>
      </c>
      <c r="AA84" s="189"/>
      <c r="AB84" s="190"/>
      <c r="AC84" s="191" t="str">
        <f t="shared" si="1"/>
        <v>home</v>
      </c>
      <c r="AD84" s="192">
        <f t="shared" si="2"/>
        <v>10</v>
      </c>
    </row>
    <row r="85" spans="2:30" x14ac:dyDescent="0.25">
      <c r="B85" s="167" t="s">
        <v>131</v>
      </c>
      <c r="C85" s="168"/>
      <c r="D85" s="168"/>
      <c r="E85" s="177" t="s">
        <v>19</v>
      </c>
      <c r="F85" s="174">
        <v>75</v>
      </c>
      <c r="H85" s="85" t="s">
        <v>121</v>
      </c>
      <c r="I85" s="170"/>
      <c r="J85" s="171"/>
      <c r="K85" s="175"/>
      <c r="L85" s="175" t="s">
        <v>20</v>
      </c>
      <c r="N85" s="167" t="s">
        <v>145</v>
      </c>
      <c r="O85" s="168"/>
      <c r="P85" s="168"/>
      <c r="Q85" s="174" t="s">
        <v>20</v>
      </c>
      <c r="R85" s="174"/>
      <c r="T85" s="167" t="s">
        <v>65</v>
      </c>
      <c r="U85" s="168"/>
      <c r="V85" s="168"/>
      <c r="W85" s="181"/>
      <c r="X85" s="174">
        <v>1</v>
      </c>
      <c r="Z85" s="188" t="str">
        <f t="shared" si="0"/>
        <v>Domestic Horitculture</v>
      </c>
      <c r="AA85" s="189"/>
      <c r="AB85" s="190"/>
      <c r="AC85" s="191" t="str">
        <f t="shared" si="1"/>
        <v>FPA</v>
      </c>
      <c r="AD85" s="192">
        <f t="shared" si="2"/>
        <v>0</v>
      </c>
    </row>
    <row r="86" spans="2:30" x14ac:dyDescent="0.25">
      <c r="B86" s="167" t="s">
        <v>132</v>
      </c>
      <c r="C86" s="168"/>
      <c r="D86" s="168"/>
      <c r="E86" s="177" t="s">
        <v>18</v>
      </c>
      <c r="F86" s="174">
        <v>20</v>
      </c>
      <c r="K86" s="136"/>
      <c r="L86" s="136"/>
      <c r="N86" s="167" t="s">
        <v>146</v>
      </c>
      <c r="O86" s="168"/>
      <c r="P86" s="168"/>
      <c r="Q86" s="174" t="s">
        <v>175</v>
      </c>
      <c r="R86" s="174">
        <v>17.5</v>
      </c>
      <c r="T86" s="167" t="s">
        <v>66</v>
      </c>
      <c r="U86" s="168"/>
      <c r="V86" s="168"/>
      <c r="W86" s="181"/>
      <c r="X86" s="174">
        <v>3</v>
      </c>
      <c r="Z86" s="188" t="str">
        <f t="shared" si="0"/>
        <v>Duplex Dwelling</v>
      </c>
      <c r="AA86" s="189"/>
      <c r="AB86" s="190"/>
      <c r="AC86" s="191" t="str">
        <f t="shared" si="1"/>
        <v>duplex dwelling</v>
      </c>
      <c r="AD86" s="192">
        <f t="shared" si="2"/>
        <v>17.5</v>
      </c>
    </row>
    <row r="87" spans="2:30" x14ac:dyDescent="0.25">
      <c r="B87" s="167" t="s">
        <v>133</v>
      </c>
      <c r="C87" s="168"/>
      <c r="D87" s="168"/>
      <c r="E87" s="177" t="s">
        <v>19</v>
      </c>
      <c r="F87" s="174">
        <v>75</v>
      </c>
      <c r="K87" s="136"/>
      <c r="L87" s="136"/>
      <c r="N87" s="167" t="s">
        <v>147</v>
      </c>
      <c r="O87" s="168"/>
      <c r="P87" s="168"/>
      <c r="Q87" s="174" t="s">
        <v>176</v>
      </c>
      <c r="R87" s="174">
        <v>10</v>
      </c>
      <c r="T87" s="167" t="s">
        <v>67</v>
      </c>
      <c r="U87" s="168"/>
      <c r="V87" s="168"/>
      <c r="W87" s="181"/>
      <c r="X87" s="174">
        <v>1</v>
      </c>
      <c r="Z87" s="188" t="str">
        <f t="shared" si="0"/>
        <v>Dwelling House</v>
      </c>
      <c r="AA87" s="189"/>
      <c r="AB87" s="190"/>
      <c r="AC87" s="191" t="str">
        <f t="shared" si="1"/>
        <v>dwelling</v>
      </c>
      <c r="AD87" s="192">
        <f t="shared" si="2"/>
        <v>10</v>
      </c>
    </row>
    <row r="88" spans="2:30" x14ac:dyDescent="0.25">
      <c r="B88" s="167" t="s">
        <v>134</v>
      </c>
      <c r="C88" s="168"/>
      <c r="D88" s="168"/>
      <c r="E88" s="177" t="s">
        <v>18</v>
      </c>
      <c r="F88" s="174">
        <v>20</v>
      </c>
      <c r="K88" s="136"/>
      <c r="L88" s="136"/>
      <c r="N88" s="167" t="s">
        <v>27</v>
      </c>
      <c r="O88" s="168"/>
      <c r="P88" s="168"/>
      <c r="Q88" s="198" t="s">
        <v>324</v>
      </c>
      <c r="R88" s="174">
        <v>10</v>
      </c>
      <c r="T88" s="167" t="s">
        <v>68</v>
      </c>
      <c r="U88" s="168"/>
      <c r="V88" s="168"/>
      <c r="W88" s="181"/>
      <c r="X88" s="174">
        <v>3</v>
      </c>
      <c r="Z88" s="188" t="str">
        <f t="shared" si="0"/>
        <v>Educational Establishment</v>
      </c>
      <c r="AA88" s="189"/>
      <c r="AB88" s="190"/>
      <c r="AC88" s="191" t="str">
        <f t="shared" si="1"/>
        <v>100m² RFA</v>
      </c>
      <c r="AD88" s="192">
        <f t="shared" si="2"/>
        <v>10</v>
      </c>
    </row>
    <row r="89" spans="2:30" x14ac:dyDescent="0.25">
      <c r="B89" s="167" t="s">
        <v>135</v>
      </c>
      <c r="C89" s="168"/>
      <c r="D89" s="168"/>
      <c r="E89" s="177" t="s">
        <v>19</v>
      </c>
      <c r="F89" s="174">
        <v>75</v>
      </c>
      <c r="K89" s="136"/>
      <c r="L89" s="136"/>
      <c r="N89" s="167" t="s">
        <v>148</v>
      </c>
      <c r="O89" s="168"/>
      <c r="P89" s="168"/>
      <c r="Q89" s="174" t="s">
        <v>20</v>
      </c>
      <c r="R89" s="174"/>
      <c r="T89" s="167" t="s">
        <v>85</v>
      </c>
      <c r="U89" s="168"/>
      <c r="V89" s="168"/>
      <c r="W89" s="181"/>
      <c r="X89" s="174">
        <v>6</v>
      </c>
      <c r="Z89" s="188" t="str">
        <f t="shared" si="0"/>
        <v>Extractive Industry</v>
      </c>
      <c r="AA89" s="189"/>
      <c r="AB89" s="190"/>
      <c r="AC89" s="191" t="str">
        <f t="shared" si="1"/>
        <v>FPA</v>
      </c>
      <c r="AD89" s="192">
        <f t="shared" si="2"/>
        <v>0</v>
      </c>
    </row>
    <row r="90" spans="2:30" x14ac:dyDescent="0.25">
      <c r="B90" s="167" t="s">
        <v>119</v>
      </c>
      <c r="C90" s="168"/>
      <c r="D90" s="168"/>
      <c r="E90" s="177" t="s">
        <v>20</v>
      </c>
      <c r="F90" s="174" t="s">
        <v>20</v>
      </c>
      <c r="K90" s="136" t="s">
        <v>35</v>
      </c>
      <c r="L90" s="136" t="s">
        <v>35</v>
      </c>
      <c r="N90" s="167" t="s">
        <v>149</v>
      </c>
      <c r="O90" s="168"/>
      <c r="P90" s="168"/>
      <c r="Q90" s="198" t="s">
        <v>324</v>
      </c>
      <c r="R90" s="174">
        <v>10</v>
      </c>
      <c r="T90" s="167" t="s">
        <v>70</v>
      </c>
      <c r="U90" s="168"/>
      <c r="V90" s="168"/>
      <c r="W90" s="181"/>
      <c r="X90" s="174">
        <v>3</v>
      </c>
      <c r="Z90" s="188" t="str">
        <f t="shared" si="0"/>
        <v xml:space="preserve">Hospital </v>
      </c>
      <c r="AA90" s="189"/>
      <c r="AB90" s="190"/>
      <c r="AC90" s="191" t="str">
        <f t="shared" si="1"/>
        <v>100m² RFA</v>
      </c>
      <c r="AD90" s="192">
        <f t="shared" si="2"/>
        <v>10</v>
      </c>
    </row>
    <row r="91" spans="2:30" x14ac:dyDescent="0.25">
      <c r="B91" s="167" t="s">
        <v>120</v>
      </c>
      <c r="C91" s="168"/>
      <c r="D91" s="168"/>
      <c r="E91" s="177" t="s">
        <v>20</v>
      </c>
      <c r="F91" s="174" t="s">
        <v>20</v>
      </c>
      <c r="K91" s="136" t="s">
        <v>35</v>
      </c>
      <c r="L91" s="136" t="s">
        <v>35</v>
      </c>
      <c r="N91" s="167" t="s">
        <v>96</v>
      </c>
      <c r="O91" s="168"/>
      <c r="P91" s="168"/>
      <c r="Q91" s="174" t="s">
        <v>20</v>
      </c>
      <c r="R91" s="174"/>
      <c r="T91" s="167" t="s">
        <v>71</v>
      </c>
      <c r="U91" s="168"/>
      <c r="V91" s="168"/>
      <c r="W91" s="181"/>
      <c r="X91" s="174">
        <v>5</v>
      </c>
      <c r="Z91" s="188" t="str">
        <f t="shared" si="0"/>
        <v>Hotel</v>
      </c>
      <c r="AA91" s="189"/>
      <c r="AB91" s="190"/>
      <c r="AC91" s="191" t="str">
        <f t="shared" si="1"/>
        <v>FPA</v>
      </c>
      <c r="AD91" s="192">
        <f t="shared" si="2"/>
        <v>0</v>
      </c>
    </row>
    <row r="92" spans="2:30" x14ac:dyDescent="0.25">
      <c r="B92" s="85" t="s">
        <v>121</v>
      </c>
      <c r="C92" s="170"/>
      <c r="D92" s="170"/>
      <c r="E92" s="178" t="s">
        <v>20</v>
      </c>
      <c r="F92" s="175" t="s">
        <v>20</v>
      </c>
      <c r="K92" s="136" t="s">
        <v>35</v>
      </c>
      <c r="L92" s="136" t="s">
        <v>35</v>
      </c>
      <c r="N92" s="167" t="s">
        <v>150</v>
      </c>
      <c r="O92" s="168"/>
      <c r="P92" s="168"/>
      <c r="Q92" s="198" t="s">
        <v>324</v>
      </c>
      <c r="R92" s="174">
        <v>20</v>
      </c>
      <c r="T92" s="167" t="s">
        <v>74</v>
      </c>
      <c r="U92" s="168"/>
      <c r="V92" s="168"/>
      <c r="W92" s="181"/>
      <c r="X92" s="174">
        <v>1</v>
      </c>
      <c r="Z92" s="188" t="str">
        <f t="shared" si="0"/>
        <v>Indoor Entertainment</v>
      </c>
      <c r="AA92" s="189"/>
      <c r="AB92" s="190"/>
      <c r="AC92" s="191" t="str">
        <f t="shared" si="1"/>
        <v>100m² RFA</v>
      </c>
      <c r="AD92" s="192">
        <f t="shared" si="2"/>
        <v>20</v>
      </c>
    </row>
    <row r="93" spans="2:30" x14ac:dyDescent="0.25">
      <c r="B93" s="109" t="s">
        <v>35</v>
      </c>
      <c r="E93" s="109" t="s">
        <v>35</v>
      </c>
      <c r="F93" s="109" t="s">
        <v>35</v>
      </c>
      <c r="H93" s="109" t="s">
        <v>35</v>
      </c>
      <c r="K93" s="136" t="s">
        <v>35</v>
      </c>
      <c r="L93" s="136" t="s">
        <v>35</v>
      </c>
      <c r="N93" s="167" t="s">
        <v>151</v>
      </c>
      <c r="O93" s="168"/>
      <c r="P93" s="168"/>
      <c r="Q93" s="198" t="s">
        <v>324</v>
      </c>
      <c r="R93" s="174">
        <v>10</v>
      </c>
      <c r="T93" s="167" t="s">
        <v>73</v>
      </c>
      <c r="U93" s="168"/>
      <c r="V93" s="168"/>
      <c r="W93" s="181"/>
      <c r="X93" s="174">
        <v>5</v>
      </c>
      <c r="Z93" s="188" t="str">
        <f t="shared" si="0"/>
        <v>Institution</v>
      </c>
      <c r="AA93" s="189"/>
      <c r="AB93" s="190"/>
      <c r="AC93" s="191" t="str">
        <f t="shared" si="1"/>
        <v>100m² RFA</v>
      </c>
      <c r="AD93" s="192">
        <f t="shared" si="2"/>
        <v>10</v>
      </c>
    </row>
    <row r="94" spans="2:30" x14ac:dyDescent="0.25">
      <c r="B94" s="109" t="s">
        <v>35</v>
      </c>
      <c r="E94" s="109" t="s">
        <v>35</v>
      </c>
      <c r="F94" s="109" t="s">
        <v>35</v>
      </c>
      <c r="H94" s="109" t="s">
        <v>35</v>
      </c>
      <c r="K94" s="136" t="s">
        <v>35</v>
      </c>
      <c r="L94" s="136" t="s">
        <v>35</v>
      </c>
      <c r="N94" s="167" t="s">
        <v>152</v>
      </c>
      <c r="O94" s="168"/>
      <c r="P94" s="168"/>
      <c r="Q94" s="198" t="s">
        <v>324</v>
      </c>
      <c r="R94" s="174">
        <v>10</v>
      </c>
      <c r="T94" s="167" t="s">
        <v>75</v>
      </c>
      <c r="U94" s="168"/>
      <c r="V94" s="168"/>
      <c r="W94" s="181"/>
      <c r="X94" s="174">
        <v>3</v>
      </c>
      <c r="Z94" s="188" t="str">
        <f t="shared" si="0"/>
        <v>Junkyard</v>
      </c>
      <c r="AA94" s="189"/>
      <c r="AB94" s="190"/>
      <c r="AC94" s="191" t="str">
        <f t="shared" si="1"/>
        <v>100m² RFA</v>
      </c>
      <c r="AD94" s="192">
        <f t="shared" si="2"/>
        <v>10</v>
      </c>
    </row>
    <row r="95" spans="2:30" x14ac:dyDescent="0.25">
      <c r="B95" s="109" t="s">
        <v>35</v>
      </c>
      <c r="E95" s="109" t="s">
        <v>35</v>
      </c>
      <c r="F95" s="109" t="s">
        <v>35</v>
      </c>
      <c r="H95" s="109" t="s">
        <v>35</v>
      </c>
      <c r="K95" s="136" t="s">
        <v>35</v>
      </c>
      <c r="L95" s="136" t="s">
        <v>35</v>
      </c>
      <c r="N95" s="167" t="s">
        <v>153</v>
      </c>
      <c r="O95" s="168"/>
      <c r="P95" s="168"/>
      <c r="Q95" s="198" t="s">
        <v>324</v>
      </c>
      <c r="R95" s="174">
        <v>10</v>
      </c>
      <c r="T95" s="167" t="s">
        <v>76</v>
      </c>
      <c r="U95" s="168"/>
      <c r="V95" s="168"/>
      <c r="W95" s="181"/>
      <c r="X95" s="174">
        <v>1</v>
      </c>
      <c r="Z95" s="188" t="str">
        <f t="shared" si="0"/>
        <v>Kennels</v>
      </c>
      <c r="AA95" s="189"/>
      <c r="AB95" s="190"/>
      <c r="AC95" s="191" t="str">
        <f t="shared" si="1"/>
        <v>100m² RFA</v>
      </c>
      <c r="AD95" s="192">
        <f t="shared" si="2"/>
        <v>10</v>
      </c>
    </row>
    <row r="96" spans="2:30" x14ac:dyDescent="0.25">
      <c r="B96" s="109" t="s">
        <v>35</v>
      </c>
      <c r="E96" s="109" t="s">
        <v>35</v>
      </c>
      <c r="F96" s="109" t="s">
        <v>35</v>
      </c>
      <c r="H96" s="109" t="s">
        <v>35</v>
      </c>
      <c r="K96" s="136" t="s">
        <v>35</v>
      </c>
      <c r="L96" s="136" t="s">
        <v>35</v>
      </c>
      <c r="N96" s="167" t="s">
        <v>156</v>
      </c>
      <c r="O96" s="168"/>
      <c r="P96" s="168"/>
      <c r="Q96" s="198" t="s">
        <v>324</v>
      </c>
      <c r="R96" s="174">
        <v>10</v>
      </c>
      <c r="T96" s="167" t="s">
        <v>77</v>
      </c>
      <c r="U96" s="168"/>
      <c r="V96" s="168"/>
      <c r="W96" s="181"/>
      <c r="X96" s="174">
        <v>3</v>
      </c>
      <c r="Z96" s="188" t="str">
        <f t="shared" si="0"/>
        <v>Liquid Fuel Depot</v>
      </c>
      <c r="AA96" s="189"/>
      <c r="AB96" s="190"/>
      <c r="AC96" s="191" t="str">
        <f t="shared" si="1"/>
        <v>100m² RFA</v>
      </c>
      <c r="AD96" s="192">
        <f t="shared" si="2"/>
        <v>10</v>
      </c>
    </row>
    <row r="97" spans="2:30" x14ac:dyDescent="0.25">
      <c r="B97" s="109" t="s">
        <v>35</v>
      </c>
      <c r="E97" s="109" t="s">
        <v>35</v>
      </c>
      <c r="F97" s="109" t="s">
        <v>35</v>
      </c>
      <c r="H97" s="109" t="s">
        <v>35</v>
      </c>
      <c r="K97" s="136" t="s">
        <v>35</v>
      </c>
      <c r="L97" s="136" t="s">
        <v>35</v>
      </c>
      <c r="N97" s="167" t="s">
        <v>154</v>
      </c>
      <c r="O97" s="168"/>
      <c r="P97" s="168"/>
      <c r="Q97" s="198" t="s">
        <v>324</v>
      </c>
      <c r="R97" s="174">
        <v>10</v>
      </c>
      <c r="T97" s="167" t="s">
        <v>78</v>
      </c>
      <c r="U97" s="168"/>
      <c r="V97" s="181"/>
      <c r="W97" s="181"/>
      <c r="X97" s="174">
        <v>2</v>
      </c>
      <c r="Z97" s="188" t="str">
        <f t="shared" si="0"/>
        <v>Local Services</v>
      </c>
      <c r="AA97" s="189"/>
      <c r="AB97" s="190"/>
      <c r="AC97" s="191" t="str">
        <f t="shared" si="1"/>
        <v>100m² RFA</v>
      </c>
      <c r="AD97" s="192">
        <f t="shared" si="2"/>
        <v>10</v>
      </c>
    </row>
    <row r="98" spans="2:30" x14ac:dyDescent="0.25">
      <c r="B98" s="109" t="s">
        <v>35</v>
      </c>
      <c r="E98" s="109" t="s">
        <v>35</v>
      </c>
      <c r="F98" s="109" t="s">
        <v>35</v>
      </c>
      <c r="H98" s="109" t="s">
        <v>35</v>
      </c>
      <c r="K98" s="136" t="s">
        <v>35</v>
      </c>
      <c r="L98" s="136" t="s">
        <v>35</v>
      </c>
      <c r="N98" s="167" t="s">
        <v>155</v>
      </c>
      <c r="O98" s="168"/>
      <c r="P98" s="168"/>
      <c r="Q98" s="174" t="s">
        <v>169</v>
      </c>
      <c r="R98" s="174">
        <v>10</v>
      </c>
      <c r="T98" s="167" t="s">
        <v>79</v>
      </c>
      <c r="U98" s="168"/>
      <c r="V98" s="181"/>
      <c r="W98" s="181"/>
      <c r="X98" s="174">
        <v>4</v>
      </c>
      <c r="Z98" s="188" t="str">
        <f t="shared" si="0"/>
        <v>Local Store</v>
      </c>
      <c r="AA98" s="189"/>
      <c r="AB98" s="190"/>
      <c r="AC98" s="191" t="str">
        <f t="shared" si="1"/>
        <v>store</v>
      </c>
      <c r="AD98" s="192">
        <f t="shared" si="2"/>
        <v>10</v>
      </c>
    </row>
    <row r="99" spans="2:30" x14ac:dyDescent="0.25">
      <c r="B99" s="109" t="s">
        <v>35</v>
      </c>
      <c r="E99" s="109" t="s">
        <v>35</v>
      </c>
      <c r="F99" s="109" t="s">
        <v>35</v>
      </c>
      <c r="H99" s="109" t="s">
        <v>35</v>
      </c>
      <c r="K99" s="136" t="s">
        <v>35</v>
      </c>
      <c r="L99" s="136" t="s">
        <v>35</v>
      </c>
      <c r="N99" s="167" t="s">
        <v>157</v>
      </c>
      <c r="O99" s="168"/>
      <c r="P99" s="168"/>
      <c r="Q99" s="198" t="s">
        <v>324</v>
      </c>
      <c r="R99" s="174">
        <v>5</v>
      </c>
      <c r="T99" s="167" t="s">
        <v>72</v>
      </c>
      <c r="U99" s="168"/>
      <c r="V99" s="168"/>
      <c r="W99" s="181"/>
      <c r="X99" s="174">
        <v>4</v>
      </c>
      <c r="Z99" s="188" t="str">
        <f t="shared" si="0"/>
        <v>Machinery Showroom</v>
      </c>
      <c r="AA99" s="189"/>
      <c r="AB99" s="190"/>
      <c r="AC99" s="191" t="str">
        <f t="shared" si="1"/>
        <v>100m² RFA</v>
      </c>
      <c r="AD99" s="192">
        <f t="shared" si="2"/>
        <v>5</v>
      </c>
    </row>
    <row r="100" spans="2:30" x14ac:dyDescent="0.25">
      <c r="B100" s="109" t="s">
        <v>35</v>
      </c>
      <c r="E100" s="109" t="s">
        <v>35</v>
      </c>
      <c r="F100" s="109" t="s">
        <v>35</v>
      </c>
      <c r="H100" s="109" t="s">
        <v>35</v>
      </c>
      <c r="K100" s="136" t="s">
        <v>35</v>
      </c>
      <c r="L100" s="136" t="s">
        <v>35</v>
      </c>
      <c r="N100" s="167" t="s">
        <v>23</v>
      </c>
      <c r="O100" s="168"/>
      <c r="P100" s="168"/>
      <c r="Q100" s="198" t="s">
        <v>324</v>
      </c>
      <c r="R100" s="174">
        <v>10</v>
      </c>
      <c r="T100" s="167" t="s">
        <v>80</v>
      </c>
      <c r="U100" s="168"/>
      <c r="V100" s="181"/>
      <c r="W100" s="181"/>
      <c r="X100" s="174">
        <v>6</v>
      </c>
      <c r="Z100" s="188" t="str">
        <f t="shared" si="0"/>
        <v>Medical Centre</v>
      </c>
      <c r="AA100" s="189"/>
      <c r="AB100" s="190"/>
      <c r="AC100" s="191" t="str">
        <f t="shared" si="1"/>
        <v>100m² RFA</v>
      </c>
      <c r="AD100" s="192">
        <f t="shared" si="2"/>
        <v>10</v>
      </c>
    </row>
    <row r="101" spans="2:30" x14ac:dyDescent="0.25">
      <c r="B101" s="109" t="s">
        <v>35</v>
      </c>
      <c r="E101" s="109" t="s">
        <v>35</v>
      </c>
      <c r="F101" s="109" t="s">
        <v>35</v>
      </c>
      <c r="H101" s="109" t="s">
        <v>35</v>
      </c>
      <c r="K101" s="136" t="s">
        <v>35</v>
      </c>
      <c r="L101" s="136" t="s">
        <v>35</v>
      </c>
      <c r="N101" s="167" t="s">
        <v>158</v>
      </c>
      <c r="O101" s="168"/>
      <c r="P101" s="168"/>
      <c r="Q101" s="198" t="s">
        <v>324</v>
      </c>
      <c r="R101" s="174">
        <v>10</v>
      </c>
      <c r="T101" s="167" t="s">
        <v>81</v>
      </c>
      <c r="U101" s="168"/>
      <c r="V101" s="181"/>
      <c r="W101" s="181"/>
      <c r="X101" s="174">
        <v>1</v>
      </c>
      <c r="Z101" s="188" t="str">
        <f t="shared" si="0"/>
        <v>Meeting Rooms</v>
      </c>
      <c r="AA101" s="189"/>
      <c r="AB101" s="190"/>
      <c r="AC101" s="191" t="str">
        <f t="shared" si="1"/>
        <v>100m² RFA</v>
      </c>
      <c r="AD101" s="192">
        <f t="shared" si="2"/>
        <v>10</v>
      </c>
    </row>
    <row r="102" spans="2:30" x14ac:dyDescent="0.25">
      <c r="B102" s="109" t="s">
        <v>35</v>
      </c>
      <c r="E102" s="109" t="s">
        <v>35</v>
      </c>
      <c r="F102" s="109" t="s">
        <v>35</v>
      </c>
      <c r="H102" s="109" t="s">
        <v>35</v>
      </c>
      <c r="K102" s="136" t="s">
        <v>35</v>
      </c>
      <c r="L102" s="136" t="s">
        <v>35</v>
      </c>
      <c r="N102" s="167" t="s">
        <v>24</v>
      </c>
      <c r="O102" s="168"/>
      <c r="P102" s="168"/>
      <c r="Q102" s="174" t="s">
        <v>177</v>
      </c>
      <c r="R102" s="174">
        <v>3</v>
      </c>
      <c r="T102" s="167" t="s">
        <v>69</v>
      </c>
      <c r="U102" s="168"/>
      <c r="V102" s="168"/>
      <c r="W102" s="181"/>
      <c r="X102" s="174">
        <v>0</v>
      </c>
      <c r="Z102" s="188" t="str">
        <f t="shared" si="0"/>
        <v>Motel</v>
      </c>
      <c r="AA102" s="189"/>
      <c r="AB102" s="190"/>
      <c r="AC102" s="191" t="str">
        <f t="shared" si="1"/>
        <v>motel unit</v>
      </c>
      <c r="AD102" s="192">
        <f t="shared" si="2"/>
        <v>3</v>
      </c>
    </row>
    <row r="103" spans="2:30" x14ac:dyDescent="0.25">
      <c r="B103" s="109" t="s">
        <v>35</v>
      </c>
      <c r="E103" s="109" t="s">
        <v>35</v>
      </c>
      <c r="F103" s="109" t="s">
        <v>35</v>
      </c>
      <c r="H103" s="109" t="s">
        <v>35</v>
      </c>
      <c r="K103" s="136" t="s">
        <v>35</v>
      </c>
      <c r="L103" s="136" t="s">
        <v>35</v>
      </c>
      <c r="N103" s="167" t="s">
        <v>178</v>
      </c>
      <c r="O103" s="168"/>
      <c r="P103" s="168"/>
      <c r="Q103" s="174" t="s">
        <v>179</v>
      </c>
      <c r="R103" s="174" t="s">
        <v>180</v>
      </c>
      <c r="T103" s="167" t="s">
        <v>82</v>
      </c>
      <c r="U103" s="168"/>
      <c r="V103" s="168"/>
      <c r="W103" s="181"/>
      <c r="X103" s="174">
        <v>3</v>
      </c>
      <c r="Z103" s="188" t="str">
        <f t="shared" si="0"/>
        <v>Multiple Dwellings</v>
      </c>
      <c r="AA103" s="189"/>
      <c r="AB103" s="190"/>
      <c r="AC103" s="191" t="str">
        <f t="shared" si="1"/>
        <v>units</v>
      </c>
      <c r="AD103" s="192" t="str">
        <f t="shared" si="2"/>
        <v>2.5 + 7.5/unit</v>
      </c>
    </row>
    <row r="104" spans="2:30" x14ac:dyDescent="0.25">
      <c r="B104" s="109" t="s">
        <v>35</v>
      </c>
      <c r="E104" s="109" t="s">
        <v>35</v>
      </c>
      <c r="F104" s="109" t="s">
        <v>35</v>
      </c>
      <c r="H104" s="109" t="s">
        <v>35</v>
      </c>
      <c r="K104" s="136" t="s">
        <v>35</v>
      </c>
      <c r="L104" s="136" t="s">
        <v>35</v>
      </c>
      <c r="N104" s="167" t="s">
        <v>159</v>
      </c>
      <c r="O104" s="168"/>
      <c r="P104" s="168"/>
      <c r="Q104" s="198" t="s">
        <v>324</v>
      </c>
      <c r="R104" s="174">
        <v>10</v>
      </c>
      <c r="T104" s="167" t="s">
        <v>83</v>
      </c>
      <c r="U104" s="168"/>
      <c r="V104" s="168"/>
      <c r="W104" s="181"/>
      <c r="X104" s="174">
        <v>4</v>
      </c>
      <c r="Z104" s="188" t="str">
        <f t="shared" si="0"/>
        <v>Offices</v>
      </c>
      <c r="AA104" s="189"/>
      <c r="AB104" s="190"/>
      <c r="AC104" s="191" t="str">
        <f t="shared" si="1"/>
        <v>100m² RFA</v>
      </c>
      <c r="AD104" s="192">
        <f t="shared" si="2"/>
        <v>10</v>
      </c>
    </row>
    <row r="105" spans="2:30" x14ac:dyDescent="0.25">
      <c r="B105" s="109" t="s">
        <v>35</v>
      </c>
      <c r="E105" s="109" t="s">
        <v>35</v>
      </c>
      <c r="F105" s="109" t="s">
        <v>35</v>
      </c>
      <c r="H105" s="109" t="s">
        <v>35</v>
      </c>
      <c r="K105" s="136" t="s">
        <v>35</v>
      </c>
      <c r="L105" s="136" t="s">
        <v>35</v>
      </c>
      <c r="N105" s="167" t="s">
        <v>160</v>
      </c>
      <c r="O105" s="168"/>
      <c r="P105" s="168"/>
      <c r="Q105" s="174" t="s">
        <v>20</v>
      </c>
      <c r="R105" s="174"/>
      <c r="T105" s="167" t="s">
        <v>84</v>
      </c>
      <c r="U105" s="168"/>
      <c r="V105" s="168"/>
      <c r="W105" s="181"/>
      <c r="X105" s="174">
        <v>6</v>
      </c>
      <c r="Z105" s="188" t="str">
        <f t="shared" si="0"/>
        <v>Open Air Displays</v>
      </c>
      <c r="AA105" s="189"/>
      <c r="AB105" s="190"/>
      <c r="AC105" s="191" t="str">
        <f t="shared" si="1"/>
        <v>FPA</v>
      </c>
      <c r="AD105" s="192">
        <f t="shared" si="2"/>
        <v>0</v>
      </c>
    </row>
    <row r="106" spans="2:30" x14ac:dyDescent="0.25">
      <c r="B106" s="109" t="s">
        <v>35</v>
      </c>
      <c r="E106" s="109" t="s">
        <v>35</v>
      </c>
      <c r="F106" s="109" t="s">
        <v>35</v>
      </c>
      <c r="H106" s="109" t="s">
        <v>35</v>
      </c>
      <c r="K106" s="136" t="s">
        <v>35</v>
      </c>
      <c r="L106" s="136" t="s">
        <v>35</v>
      </c>
      <c r="N106" s="167" t="s">
        <v>161</v>
      </c>
      <c r="O106" s="168"/>
      <c r="P106" s="168"/>
      <c r="Q106" s="174" t="s">
        <v>20</v>
      </c>
      <c r="R106" s="174"/>
      <c r="T106" s="85"/>
      <c r="U106" s="170"/>
      <c r="V106" s="170"/>
      <c r="W106" s="182"/>
      <c r="X106" s="175"/>
      <c r="Z106" s="188" t="str">
        <f t="shared" si="0"/>
        <v>Outdoor Entertainment</v>
      </c>
      <c r="AA106" s="189"/>
      <c r="AB106" s="190"/>
      <c r="AC106" s="191" t="str">
        <f t="shared" si="1"/>
        <v>FPA</v>
      </c>
      <c r="AD106" s="192">
        <f t="shared" si="2"/>
        <v>0</v>
      </c>
    </row>
    <row r="107" spans="2:30" x14ac:dyDescent="0.25">
      <c r="B107" s="109" t="s">
        <v>35</v>
      </c>
      <c r="E107" s="109" t="s">
        <v>35</v>
      </c>
      <c r="F107" s="109" t="s">
        <v>35</v>
      </c>
      <c r="H107" s="109" t="s">
        <v>35</v>
      </c>
      <c r="K107" s="136" t="s">
        <v>35</v>
      </c>
      <c r="L107" s="136" t="s">
        <v>35</v>
      </c>
      <c r="N107" s="167" t="s">
        <v>162</v>
      </c>
      <c r="O107" s="168"/>
      <c r="P107" s="168"/>
      <c r="Q107" s="174" t="s">
        <v>20</v>
      </c>
      <c r="R107" s="174"/>
      <c r="W107" s="136"/>
      <c r="Z107" s="188" t="str">
        <f t="shared" si="0"/>
        <v>Parking Area</v>
      </c>
      <c r="AA107" s="189"/>
      <c r="AB107" s="190"/>
      <c r="AC107" s="191" t="str">
        <f t="shared" si="1"/>
        <v>FPA</v>
      </c>
      <c r="AD107" s="192">
        <f t="shared" si="2"/>
        <v>0</v>
      </c>
    </row>
    <row r="108" spans="2:30" x14ac:dyDescent="0.25">
      <c r="B108" s="109" t="s">
        <v>35</v>
      </c>
      <c r="E108" s="109" t="s">
        <v>35</v>
      </c>
      <c r="F108" s="109" t="s">
        <v>35</v>
      </c>
      <c r="H108" s="109" t="s">
        <v>35</v>
      </c>
      <c r="K108" s="136" t="s">
        <v>35</v>
      </c>
      <c r="L108" s="136" t="s">
        <v>35</v>
      </c>
      <c r="N108" s="167" t="s">
        <v>163</v>
      </c>
      <c r="O108" s="168"/>
      <c r="P108" s="168"/>
      <c r="Q108" s="198" t="s">
        <v>324</v>
      </c>
      <c r="R108" s="174">
        <v>10</v>
      </c>
      <c r="W108" s="136"/>
      <c r="Z108" s="188" t="str">
        <f t="shared" si="0"/>
        <v>Passenger Terminal</v>
      </c>
      <c r="AA108" s="189"/>
      <c r="AB108" s="190"/>
      <c r="AC108" s="191" t="str">
        <f t="shared" si="1"/>
        <v>100m² RFA</v>
      </c>
      <c r="AD108" s="192">
        <f t="shared" si="2"/>
        <v>10</v>
      </c>
    </row>
    <row r="109" spans="2:30" x14ac:dyDescent="0.25">
      <c r="B109" s="109" t="s">
        <v>35</v>
      </c>
      <c r="E109" s="109" t="s">
        <v>35</v>
      </c>
      <c r="F109" s="109" t="s">
        <v>35</v>
      </c>
      <c r="H109" s="109" t="s">
        <v>35</v>
      </c>
      <c r="K109" s="136" t="s">
        <v>35</v>
      </c>
      <c r="L109" s="136" t="s">
        <v>35</v>
      </c>
      <c r="N109" s="167" t="s">
        <v>187</v>
      </c>
      <c r="O109" s="168"/>
      <c r="P109" s="168"/>
      <c r="Q109" s="174" t="s">
        <v>182</v>
      </c>
      <c r="R109" s="174">
        <v>10</v>
      </c>
      <c r="W109" s="136"/>
      <c r="Z109" s="188" t="str">
        <f t="shared" si="0"/>
        <v>Place of Public Worship (Pedestals)</v>
      </c>
      <c r="AA109" s="189"/>
      <c r="AB109" s="190"/>
      <c r="AC109" s="191" t="str">
        <f t="shared" si="1"/>
        <v>pedestal</v>
      </c>
      <c r="AD109" s="192">
        <f t="shared" si="2"/>
        <v>10</v>
      </c>
    </row>
    <row r="110" spans="2:30" x14ac:dyDescent="0.25">
      <c r="B110" s="109" t="s">
        <v>35</v>
      </c>
      <c r="E110" s="109" t="s">
        <v>35</v>
      </c>
      <c r="F110" s="109" t="s">
        <v>35</v>
      </c>
      <c r="H110" s="109" t="s">
        <v>35</v>
      </c>
      <c r="K110" s="136" t="s">
        <v>35</v>
      </c>
      <c r="L110" s="136" t="s">
        <v>35</v>
      </c>
      <c r="N110" s="167" t="s">
        <v>188</v>
      </c>
      <c r="O110" s="168"/>
      <c r="P110" s="168"/>
      <c r="Q110" s="174" t="s">
        <v>183</v>
      </c>
      <c r="R110" s="174" t="s">
        <v>184</v>
      </c>
      <c r="W110" s="136"/>
      <c r="Z110" s="188" t="str">
        <f t="shared" si="0"/>
        <v>Place of Public Worship (Urinals)</v>
      </c>
      <c r="AA110" s="189"/>
      <c r="AB110" s="190"/>
      <c r="AC110" s="191" t="str">
        <f t="shared" si="1"/>
        <v>1,200mm of urinal</v>
      </c>
      <c r="AD110" s="192" t="str">
        <f t="shared" si="2"/>
        <v>10 (MIN 20)</v>
      </c>
    </row>
    <row r="111" spans="2:30" x14ac:dyDescent="0.25">
      <c r="B111" s="109" t="s">
        <v>35</v>
      </c>
      <c r="E111" s="109" t="s">
        <v>35</v>
      </c>
      <c r="F111" s="109" t="s">
        <v>35</v>
      </c>
      <c r="H111" s="109" t="s">
        <v>35</v>
      </c>
      <c r="K111" s="136" t="s">
        <v>35</v>
      </c>
      <c r="L111" s="136" t="s">
        <v>35</v>
      </c>
      <c r="N111" s="85"/>
      <c r="O111" s="170"/>
      <c r="P111" s="170"/>
      <c r="Q111" s="175"/>
      <c r="R111" s="175"/>
      <c r="W111" s="136"/>
      <c r="Z111" s="193">
        <f t="shared" si="0"/>
        <v>0</v>
      </c>
      <c r="AA111" s="194"/>
      <c r="AB111" s="195"/>
      <c r="AC111" s="196">
        <f t="shared" si="1"/>
        <v>0</v>
      </c>
      <c r="AD111" s="197">
        <f t="shared" si="2"/>
        <v>0</v>
      </c>
    </row>
    <row r="112" spans="2:30" x14ac:dyDescent="0.25">
      <c r="W112" s="136"/>
    </row>
    <row r="113" spans="23:23" x14ac:dyDescent="0.25">
      <c r="W113" s="136"/>
    </row>
    <row r="114" spans="23:23" x14ac:dyDescent="0.25">
      <c r="W114" s="136"/>
    </row>
    <row r="115" spans="23:23" x14ac:dyDescent="0.25">
      <c r="W115" s="136"/>
    </row>
    <row r="116" spans="23:23" x14ac:dyDescent="0.25">
      <c r="W116" s="136"/>
    </row>
    <row r="117" spans="23:23" x14ac:dyDescent="0.25">
      <c r="W117" s="136"/>
    </row>
    <row r="118" spans="23:23" x14ac:dyDescent="0.25">
      <c r="W118" s="136"/>
    </row>
    <row r="119" spans="23:23" x14ac:dyDescent="0.25">
      <c r="W119" s="136"/>
    </row>
    <row r="129" spans="9:10" x14ac:dyDescent="0.25">
      <c r="I129" s="109" t="s">
        <v>35</v>
      </c>
      <c r="J129" s="109" t="s">
        <v>35</v>
      </c>
    </row>
  </sheetData>
  <sheetProtection password="CDF4" sheet="1" objects="1" scenarios="1"/>
  <mergeCells count="49">
    <mergeCell ref="J43:K43"/>
    <mergeCell ref="H38:K38"/>
    <mergeCell ref="J39:K39"/>
    <mergeCell ref="H40:I40"/>
    <mergeCell ref="J40:K40"/>
    <mergeCell ref="H41:I41"/>
    <mergeCell ref="J41:K41"/>
    <mergeCell ref="H39:I39"/>
    <mergeCell ref="J42:K42"/>
    <mergeCell ref="B21:D21"/>
    <mergeCell ref="L6:M6"/>
    <mergeCell ref="F14:G14"/>
    <mergeCell ref="F15:G15"/>
    <mergeCell ref="D6:G7"/>
    <mergeCell ref="H6:J6"/>
    <mergeCell ref="K6:K7"/>
    <mergeCell ref="E21:G21"/>
    <mergeCell ref="B8:C9"/>
    <mergeCell ref="F16:G16"/>
    <mergeCell ref="B6:C7"/>
    <mergeCell ref="F17:G17"/>
    <mergeCell ref="H21:H22"/>
    <mergeCell ref="B46:F47"/>
    <mergeCell ref="B48:C49"/>
    <mergeCell ref="D48:F49"/>
    <mergeCell ref="G48:G49"/>
    <mergeCell ref="B50:C51"/>
    <mergeCell ref="D50:F51"/>
    <mergeCell ref="G50:G51"/>
    <mergeCell ref="B38:B39"/>
    <mergeCell ref="C38:G39"/>
    <mergeCell ref="H43:I43"/>
    <mergeCell ref="B29:D29"/>
    <mergeCell ref="E29:G29"/>
    <mergeCell ref="H42:I42"/>
    <mergeCell ref="C40:G40"/>
    <mergeCell ref="C41:G41"/>
    <mergeCell ref="C42:G42"/>
    <mergeCell ref="H29:H30"/>
    <mergeCell ref="B62:E62"/>
    <mergeCell ref="Z68:AD68"/>
    <mergeCell ref="B69:D69"/>
    <mergeCell ref="H69:J69"/>
    <mergeCell ref="N69:P69"/>
    <mergeCell ref="Z69:AB69"/>
    <mergeCell ref="B68:F68"/>
    <mergeCell ref="H68:L68"/>
    <mergeCell ref="N68:R68"/>
    <mergeCell ref="T68:X68"/>
  </mergeCells>
  <phoneticPr fontId="4" type="noConversion"/>
  <pageMargins left="0.41" right="0.15" top="1" bottom="1" header="0.5" footer="0.5"/>
  <pageSetup paperSize="9" scale="72" orientation="portrait"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xdr:col>
                    <xdr:colOff>22860</xdr:colOff>
                    <xdr:row>13</xdr:row>
                    <xdr:rowOff>0</xdr:rowOff>
                  </from>
                  <to>
                    <xdr:col>5</xdr:col>
                    <xdr:colOff>38100</xdr:colOff>
                    <xdr:row>14</xdr:row>
                    <xdr:rowOff>7620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1</xdr:col>
                    <xdr:colOff>22860</xdr:colOff>
                    <xdr:row>14</xdr:row>
                    <xdr:rowOff>7620</xdr:rowOff>
                  </from>
                  <to>
                    <xdr:col>5</xdr:col>
                    <xdr:colOff>38100</xdr:colOff>
                    <xdr:row>15</xdr:row>
                    <xdr:rowOff>22860</xdr:rowOff>
                  </to>
                </anchor>
              </controlPr>
            </control>
          </mc:Choice>
        </mc:AlternateContent>
        <mc:AlternateContent xmlns:mc="http://schemas.openxmlformats.org/markup-compatibility/2006">
          <mc:Choice Requires="x14">
            <control shapeId="14339" r:id="rId6" name="Drop Down 3">
              <controlPr defaultSize="0" autoLine="0" autoPict="0">
                <anchor moveWithCells="1">
                  <from>
                    <xdr:col>1</xdr:col>
                    <xdr:colOff>22860</xdr:colOff>
                    <xdr:row>15</xdr:row>
                    <xdr:rowOff>0</xdr:rowOff>
                  </from>
                  <to>
                    <xdr:col>5</xdr:col>
                    <xdr:colOff>38100</xdr:colOff>
                    <xdr:row>16</xdr:row>
                    <xdr:rowOff>7620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723900</xdr:colOff>
                    <xdr:row>2</xdr:row>
                    <xdr:rowOff>7620</xdr:rowOff>
                  </from>
                  <to>
                    <xdr:col>7</xdr:col>
                    <xdr:colOff>38100</xdr:colOff>
                    <xdr:row>3</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AD150"/>
  <sheetViews>
    <sheetView showGridLines="0" zoomScale="75" zoomScaleNormal="75" workbookViewId="0">
      <selection activeCell="H15" sqref="H15"/>
    </sheetView>
  </sheetViews>
  <sheetFormatPr defaultColWidth="9.109375" defaultRowHeight="13.2" x14ac:dyDescent="0.25"/>
  <cols>
    <col min="1" max="1" width="2" style="109" customWidth="1"/>
    <col min="2" max="2" width="15.6640625" style="109" customWidth="1"/>
    <col min="3" max="3" width="12.6640625" style="109" customWidth="1"/>
    <col min="4" max="5" width="8.6640625" style="109" customWidth="1"/>
    <col min="6" max="6" width="11" style="109" customWidth="1"/>
    <col min="7" max="7" width="10.44140625" style="109" customWidth="1"/>
    <col min="8" max="8" width="11.33203125" style="109" customWidth="1"/>
    <col min="9" max="9" width="11.109375" style="109" customWidth="1"/>
    <col min="10" max="10" width="9.109375" style="109"/>
    <col min="11" max="11" width="7" style="109" customWidth="1"/>
    <col min="12" max="12" width="9.109375" style="109"/>
    <col min="13" max="13" width="10" style="109" customWidth="1"/>
    <col min="14" max="14" width="8.109375" style="109" customWidth="1"/>
    <col min="15" max="15" width="7.5546875" style="109" customWidth="1"/>
    <col min="16" max="16" width="10.5546875" style="109" customWidth="1"/>
    <col min="17" max="17" width="28.109375" style="109" customWidth="1"/>
    <col min="18" max="18" width="11.33203125" style="109" customWidth="1"/>
    <col min="19" max="19" width="9.109375" style="109"/>
    <col min="20" max="20" width="0" style="109" hidden="1" customWidth="1"/>
    <col min="21" max="28" width="9.109375" style="109"/>
    <col min="29" max="29" width="16.88671875" style="109" customWidth="1"/>
    <col min="30" max="16384" width="9.109375" style="109"/>
  </cols>
  <sheetData>
    <row r="1" spans="1:20" ht="15.6" x14ac:dyDescent="0.3">
      <c r="A1" s="116" t="s">
        <v>210</v>
      </c>
      <c r="N1" s="135" t="s">
        <v>295</v>
      </c>
    </row>
    <row r="2" spans="1:20" ht="63" customHeight="1" x14ac:dyDescent="0.25">
      <c r="E2" s="136"/>
      <c r="F2" s="136"/>
      <c r="G2" s="136"/>
      <c r="H2" s="136"/>
      <c r="I2" s="136"/>
      <c r="J2" s="136"/>
      <c r="K2" s="136"/>
    </row>
    <row r="3" spans="1:20" x14ac:dyDescent="0.25">
      <c r="A3" s="135" t="s">
        <v>44</v>
      </c>
      <c r="B3" s="137" t="s">
        <v>30</v>
      </c>
      <c r="T3" s="138">
        <v>1</v>
      </c>
    </row>
    <row r="4" spans="1:20" x14ac:dyDescent="0.25">
      <c r="A4" s="135"/>
      <c r="B4" s="137"/>
      <c r="T4" s="138"/>
    </row>
    <row r="5" spans="1:20" x14ac:dyDescent="0.25">
      <c r="A5" s="135" t="s">
        <v>37</v>
      </c>
      <c r="B5" s="137" t="s">
        <v>212</v>
      </c>
      <c r="T5" s="138"/>
    </row>
    <row r="6" spans="1:20" x14ac:dyDescent="0.25">
      <c r="B6" s="479" t="s">
        <v>28</v>
      </c>
      <c r="C6" s="481"/>
      <c r="D6" s="504" t="s">
        <v>88</v>
      </c>
      <c r="E6" s="504"/>
      <c r="F6" s="504"/>
      <c r="G6" s="504"/>
      <c r="H6" s="465" t="s">
        <v>41</v>
      </c>
      <c r="I6" s="466"/>
      <c r="J6" s="467"/>
      <c r="K6" s="505" t="s">
        <v>100</v>
      </c>
      <c r="L6" s="465" t="s">
        <v>101</v>
      </c>
      <c r="M6" s="467"/>
      <c r="T6" s="138"/>
    </row>
    <row r="7" spans="1:20" x14ac:dyDescent="0.25">
      <c r="B7" s="482"/>
      <c r="C7" s="484"/>
      <c r="D7" s="504"/>
      <c r="E7" s="504"/>
      <c r="F7" s="504"/>
      <c r="G7" s="504"/>
      <c r="H7" s="7" t="s">
        <v>453</v>
      </c>
      <c r="I7" s="7" t="s">
        <v>29</v>
      </c>
      <c r="J7" s="7" t="s">
        <v>287</v>
      </c>
      <c r="K7" s="506"/>
      <c r="L7" s="7" t="str">
        <f>+H7</f>
        <v>$/WU</v>
      </c>
      <c r="M7" s="7" t="s">
        <v>29</v>
      </c>
      <c r="T7" s="138"/>
    </row>
    <row r="8" spans="1:20" x14ac:dyDescent="0.25">
      <c r="B8" s="507" t="s">
        <v>193</v>
      </c>
      <c r="C8" s="508"/>
      <c r="D8" s="18" t="s">
        <v>454</v>
      </c>
      <c r="E8" s="18"/>
      <c r="F8" s="18"/>
      <c r="G8" s="18"/>
      <c r="H8" s="253">
        <v>64.67</v>
      </c>
      <c r="I8" s="60" t="s">
        <v>294</v>
      </c>
      <c r="J8" s="56">
        <v>91.8</v>
      </c>
      <c r="K8" s="11">
        <f>+'June 2009 Summary'!$D$16/Water!J8</f>
        <v>1.0370370370370372</v>
      </c>
      <c r="L8" s="254">
        <f>+H8*K8</f>
        <v>67.0651851851852</v>
      </c>
      <c r="M8" s="60" t="str">
        <f>+'June 2009 Summary'!$D$14</f>
        <v>Jun '09</v>
      </c>
      <c r="T8" s="138">
        <v>1</v>
      </c>
    </row>
    <row r="9" spans="1:20" x14ac:dyDescent="0.25">
      <c r="B9" s="537"/>
      <c r="C9" s="538"/>
      <c r="D9" s="20" t="s">
        <v>455</v>
      </c>
      <c r="E9" s="21"/>
      <c r="F9" s="21"/>
      <c r="G9" s="22"/>
      <c r="H9" s="255">
        <v>50.85</v>
      </c>
      <c r="I9" s="60" t="str">
        <f>+I8</f>
        <v>Jun '08</v>
      </c>
      <c r="J9" s="56">
        <v>91.8</v>
      </c>
      <c r="K9" s="11">
        <f>+'June 2009 Summary'!$D$16/Water!J9</f>
        <v>1.0370370370370372</v>
      </c>
      <c r="L9" s="254">
        <f>+H9*K9</f>
        <v>52.733333333333341</v>
      </c>
      <c r="M9" s="60" t="str">
        <f>+M8</f>
        <v>Jun '09</v>
      </c>
      <c r="T9" s="138"/>
    </row>
    <row r="10" spans="1:20" x14ac:dyDescent="0.25">
      <c r="B10" s="509"/>
      <c r="C10" s="510"/>
      <c r="D10" s="12" t="s">
        <v>456</v>
      </c>
      <c r="E10" s="13"/>
      <c r="F10" s="13"/>
      <c r="G10" s="14"/>
      <c r="H10" s="255">
        <v>185.51</v>
      </c>
      <c r="I10" s="60" t="str">
        <f>+I8</f>
        <v>Jun '08</v>
      </c>
      <c r="J10" s="56">
        <v>91.8</v>
      </c>
      <c r="K10" s="11">
        <f>+'June 2009 Summary'!$D$16/Water!J10</f>
        <v>1.0370370370370372</v>
      </c>
      <c r="L10" s="254">
        <f>+H10*K10</f>
        <v>192.38074074074075</v>
      </c>
      <c r="M10" s="60" t="str">
        <f>+M9</f>
        <v>Jun '09</v>
      </c>
      <c r="T10" s="138"/>
    </row>
    <row r="11" spans="1:20" x14ac:dyDescent="0.25">
      <c r="H11" s="140" t="s">
        <v>297</v>
      </c>
      <c r="I11" s="140"/>
      <c r="T11" s="138"/>
    </row>
    <row r="13" spans="1:20" x14ac:dyDescent="0.25">
      <c r="A13" s="135" t="s">
        <v>38</v>
      </c>
      <c r="B13" s="137" t="s">
        <v>457</v>
      </c>
    </row>
    <row r="14" spans="1:20" x14ac:dyDescent="0.25">
      <c r="B14" s="3" t="s">
        <v>32</v>
      </c>
      <c r="C14" s="4"/>
      <c r="D14" s="4"/>
      <c r="E14" s="5"/>
      <c r="F14" s="3" t="s">
        <v>34</v>
      </c>
      <c r="G14" s="6"/>
      <c r="H14" s="7" t="s">
        <v>33</v>
      </c>
      <c r="I14" s="8" t="s">
        <v>189</v>
      </c>
      <c r="J14" s="7" t="s">
        <v>458</v>
      </c>
      <c r="T14" s="138">
        <v>1</v>
      </c>
    </row>
    <row r="15" spans="1:20" ht="15" customHeight="1" x14ac:dyDescent="0.25">
      <c r="F15" s="502" t="str">
        <f>INDEX($AC$74:$AC$120,T15)</f>
        <v xml:space="preserve"> </v>
      </c>
      <c r="G15" s="503"/>
      <c r="H15" s="256"/>
      <c r="I15" s="15" t="str">
        <f>+IF(F15="FPA"," ",INDEX($AD$74:$AD$120,T15))</f>
        <v xml:space="preserve"> </v>
      </c>
      <c r="J15" s="1" t="str">
        <f>+IF(OR(I15=" ",H15=0),"",IF(I15="8 + 4/bed",8+H15*4,IF(I15="3 + 9/unit",3+9*H15,IF(I15="18 + 1.5/150m²",18+ROUNDUP((H15-300)/150,0)*1.5,H15*I15))))</f>
        <v/>
      </c>
      <c r="K15" s="142"/>
      <c r="T15" s="138">
        <v>1</v>
      </c>
    </row>
    <row r="16" spans="1:20" ht="15" customHeight="1" x14ac:dyDescent="0.25">
      <c r="F16" s="502" t="str">
        <f>INDEX($AC$74:$AC$120,T16)</f>
        <v xml:space="preserve"> </v>
      </c>
      <c r="G16" s="503"/>
      <c r="H16" s="256"/>
      <c r="I16" s="15" t="str">
        <f>+IF(F16="FPA"," ",INDEX($AD$74:$AD$120,T16))</f>
        <v xml:space="preserve"> </v>
      </c>
      <c r="J16" s="1" t="str">
        <f>+IF(OR(I16=" ",H16=0),"",IF(I16="8 + 4/bed",8+H16*4,IF(I16="3 + 9/unit",3+9*H16,IF(I16="18 + 1.5/150m²",18+ROUNDUP((H16-300)/150,0)*1.5,H16*I16))))</f>
        <v/>
      </c>
      <c r="K16" s="142"/>
      <c r="T16" s="138">
        <v>1</v>
      </c>
    </row>
    <row r="17" spans="1:20" ht="15" customHeight="1" x14ac:dyDescent="0.25">
      <c r="F17" s="502" t="str">
        <f>INDEX($AC$74:$AC$120,T17)</f>
        <v xml:space="preserve"> </v>
      </c>
      <c r="G17" s="503"/>
      <c r="H17" s="256"/>
      <c r="I17" s="15" t="str">
        <f>+IF(F17="FPA"," ",INDEX($AD$74:$AD$120,T17))</f>
        <v xml:space="preserve"> </v>
      </c>
      <c r="J17" s="1" t="str">
        <f>+IF(OR(I17=" ",H17=0),"",IF(I17="8 + 4/bed",8+H17*4,IF(I17="3 + 9/unit",3+9*H17,IF(I17="18 + 1.5/150m²",18+ROUNDUP((H17-300)/150,0)*1.5,H17*I17))))</f>
        <v/>
      </c>
      <c r="K17" s="142"/>
      <c r="T17" s="138">
        <v>1</v>
      </c>
    </row>
    <row r="18" spans="1:20" x14ac:dyDescent="0.25">
      <c r="E18" s="141" t="str">
        <f>+IF(OR(F15="FPA",F16="FPA",F17="FPA")," Please summarise First Principles Assessment (FPA):","Do not use this line - First Principles Assessment only")</f>
        <v>Do not use this line - First Principles Assessment only</v>
      </c>
      <c r="F18" s="535"/>
      <c r="G18" s="536"/>
      <c r="H18" s="256"/>
      <c r="I18" s="256"/>
      <c r="J18" s="2">
        <f>+IF(I18=" ","",H18*I18)</f>
        <v>0</v>
      </c>
      <c r="K18" s="142"/>
      <c r="T18" s="138">
        <v>1</v>
      </c>
    </row>
    <row r="19" spans="1:20" x14ac:dyDescent="0.25">
      <c r="I19" s="143" t="s">
        <v>36</v>
      </c>
      <c r="J19" s="19">
        <f>SUM(J15:J18)</f>
        <v>0</v>
      </c>
      <c r="K19" s="142"/>
    </row>
    <row r="20" spans="1:20" x14ac:dyDescent="0.25">
      <c r="K20" s="142"/>
    </row>
    <row r="21" spans="1:20" x14ac:dyDescent="0.25">
      <c r="A21" s="135" t="s">
        <v>39</v>
      </c>
      <c r="B21" s="137" t="s">
        <v>459</v>
      </c>
      <c r="K21" s="142"/>
    </row>
    <row r="22" spans="1:20" x14ac:dyDescent="0.25">
      <c r="B22" s="465" t="s">
        <v>460</v>
      </c>
      <c r="C22" s="466"/>
      <c r="D22" s="466"/>
      <c r="E22" s="466"/>
      <c r="F22" s="466"/>
      <c r="G22" s="467"/>
      <c r="H22" s="533" t="s">
        <v>461</v>
      </c>
      <c r="T22" s="138">
        <v>1</v>
      </c>
    </row>
    <row r="23" spans="1:20" ht="15" customHeight="1" x14ac:dyDescent="0.25">
      <c r="B23" s="465" t="s">
        <v>462</v>
      </c>
      <c r="C23" s="466"/>
      <c r="D23" s="466"/>
      <c r="E23" s="466"/>
      <c r="F23" s="467"/>
      <c r="G23" s="7" t="s">
        <v>463</v>
      </c>
      <c r="H23" s="534"/>
      <c r="T23" s="138">
        <v>1</v>
      </c>
    </row>
    <row r="24" spans="1:20" ht="15" customHeight="1" x14ac:dyDescent="0.25">
      <c r="B24" s="535"/>
      <c r="C24" s="539"/>
      <c r="D24" s="539"/>
      <c r="E24" s="539"/>
      <c r="F24" s="536"/>
      <c r="G24" s="257"/>
      <c r="H24" s="373">
        <f>+G24/L8</f>
        <v>0</v>
      </c>
      <c r="T24" s="138">
        <v>1</v>
      </c>
    </row>
    <row r="25" spans="1:20" x14ac:dyDescent="0.25">
      <c r="G25" s="143"/>
    </row>
    <row r="26" spans="1:20" x14ac:dyDescent="0.25">
      <c r="G26" s="143"/>
      <c r="H26" s="145"/>
    </row>
    <row r="27" spans="1:20" x14ac:dyDescent="0.25">
      <c r="A27" s="135" t="s">
        <v>40</v>
      </c>
      <c r="B27" s="137" t="s">
        <v>213</v>
      </c>
    </row>
    <row r="28" spans="1:20" x14ac:dyDescent="0.25">
      <c r="B28" s="486" t="s">
        <v>302</v>
      </c>
      <c r="C28" s="487"/>
      <c r="D28" s="487"/>
      <c r="E28" s="465" t="s">
        <v>195</v>
      </c>
      <c r="F28" s="466"/>
      <c r="G28" s="467"/>
      <c r="H28" s="540" t="s">
        <v>464</v>
      </c>
    </row>
    <row r="29" spans="1:20" x14ac:dyDescent="0.25">
      <c r="B29" s="7" t="s">
        <v>194</v>
      </c>
      <c r="C29" s="7" t="s">
        <v>29</v>
      </c>
      <c r="D29" s="7" t="s">
        <v>105</v>
      </c>
      <c r="E29" s="7" t="s">
        <v>105</v>
      </c>
      <c r="F29" s="3" t="s">
        <v>194</v>
      </c>
      <c r="G29" s="7" t="s">
        <v>29</v>
      </c>
      <c r="H29" s="541"/>
    </row>
    <row r="30" spans="1:20" x14ac:dyDescent="0.25">
      <c r="B30" s="257"/>
      <c r="C30" s="258"/>
      <c r="D30" s="259"/>
      <c r="E30" s="2" t="s">
        <v>489</v>
      </c>
      <c r="F30" s="16" t="str">
        <f>IF(B30=0,"",B30/D30*E30)</f>
        <v/>
      </c>
      <c r="G30" s="60" t="str">
        <f>IF(B30=0,"",$M$8)</f>
        <v/>
      </c>
      <c r="H30" s="371" t="str">
        <f>+IF(B30=0,"",F30/$L$9)</f>
        <v/>
      </c>
    </row>
    <row r="31" spans="1:20" x14ac:dyDescent="0.25">
      <c r="B31" s="257"/>
      <c r="C31" s="258"/>
      <c r="D31" s="259"/>
      <c r="E31" s="2" t="s">
        <v>489</v>
      </c>
      <c r="F31" s="16" t="str">
        <f>IF(B31=0,"",B31/D31*E31)</f>
        <v/>
      </c>
      <c r="G31" s="60" t="str">
        <f>IF(B31=0,"",$M$8)</f>
        <v/>
      </c>
      <c r="H31" s="371" t="str">
        <f>+IF(B31=0,"",F31/$L$9)</f>
        <v/>
      </c>
    </row>
    <row r="32" spans="1:20" x14ac:dyDescent="0.25">
      <c r="B32" s="257"/>
      <c r="C32" s="258"/>
      <c r="D32" s="259"/>
      <c r="E32" s="2" t="s">
        <v>489</v>
      </c>
      <c r="F32" s="16" t="str">
        <f>IF(B32=0,"",B32/D32*E32)</f>
        <v/>
      </c>
      <c r="G32" s="60" t="str">
        <f>IF(B32=0,"",$M$8)</f>
        <v/>
      </c>
      <c r="H32" s="371" t="str">
        <f>+IF(B32=0,"",F32/$L$9)</f>
        <v/>
      </c>
    </row>
    <row r="33" spans="1:13" x14ac:dyDescent="0.25">
      <c r="B33" s="144" t="s">
        <v>303</v>
      </c>
      <c r="G33" s="143" t="s">
        <v>36</v>
      </c>
      <c r="H33" s="2">
        <f>SUM(H30:H32)</f>
        <v>0</v>
      </c>
    </row>
    <row r="34" spans="1:13" x14ac:dyDescent="0.25">
      <c r="G34" s="143"/>
      <c r="H34" s="145"/>
    </row>
    <row r="35" spans="1:13" x14ac:dyDescent="0.25">
      <c r="A35" s="135">
        <v>6</v>
      </c>
      <c r="B35" s="137" t="s">
        <v>465</v>
      </c>
      <c r="G35" s="143"/>
      <c r="H35" s="145"/>
    </row>
    <row r="36" spans="1:13" x14ac:dyDescent="0.25">
      <c r="A36" s="135"/>
      <c r="B36" s="486" t="s">
        <v>304</v>
      </c>
      <c r="C36" s="487"/>
      <c r="D36" s="487"/>
      <c r="E36" s="465" t="s">
        <v>195</v>
      </c>
      <c r="F36" s="466"/>
      <c r="G36" s="467"/>
      <c r="H36" s="540" t="s">
        <v>464</v>
      </c>
    </row>
    <row r="37" spans="1:13" x14ac:dyDescent="0.25">
      <c r="A37" s="135"/>
      <c r="B37" s="7" t="s">
        <v>194</v>
      </c>
      <c r="C37" s="7" t="s">
        <v>29</v>
      </c>
      <c r="D37" s="7" t="s">
        <v>105</v>
      </c>
      <c r="E37" s="7" t="s">
        <v>105</v>
      </c>
      <c r="F37" s="3" t="s">
        <v>194</v>
      </c>
      <c r="G37" s="7" t="s">
        <v>29</v>
      </c>
      <c r="H37" s="541"/>
    </row>
    <row r="38" spans="1:13" x14ac:dyDescent="0.25">
      <c r="A38" s="135"/>
      <c r="B38" s="257"/>
      <c r="C38" s="258"/>
      <c r="D38" s="259"/>
      <c r="E38" s="2" t="s">
        <v>489</v>
      </c>
      <c r="F38" s="16" t="str">
        <f>IF(B38=0,"",B38/D38*E38)</f>
        <v/>
      </c>
      <c r="G38" s="60" t="str">
        <f>IF(B38=0,"",$M$8)</f>
        <v/>
      </c>
      <c r="H38" s="371" t="str">
        <f>+IF(B38=0,"",F38/$L$10)</f>
        <v/>
      </c>
    </row>
    <row r="39" spans="1:13" x14ac:dyDescent="0.25">
      <c r="A39" s="135"/>
      <c r="B39" s="257"/>
      <c r="C39" s="258"/>
      <c r="D39" s="259"/>
      <c r="E39" s="2" t="s">
        <v>489</v>
      </c>
      <c r="F39" s="16" t="str">
        <f>IF(B39=0,"",B39/D39*E39)</f>
        <v/>
      </c>
      <c r="G39" s="60" t="str">
        <f>IF(B39=0,"",$M$8)</f>
        <v/>
      </c>
      <c r="H39" s="371" t="str">
        <f>+IF(B39=0,"",F39/$L$10)</f>
        <v/>
      </c>
    </row>
    <row r="40" spans="1:13" x14ac:dyDescent="0.25">
      <c r="A40" s="135"/>
      <c r="B40" s="257"/>
      <c r="C40" s="258"/>
      <c r="D40" s="259"/>
      <c r="E40" s="2" t="s">
        <v>489</v>
      </c>
      <c r="F40" s="16" t="str">
        <f>IF(B40=0,"",B40/D40*E40)</f>
        <v/>
      </c>
      <c r="G40" s="60" t="str">
        <f>IF(B40=0,"",$M$8)</f>
        <v/>
      </c>
      <c r="H40" s="371" t="str">
        <f>+IF(B40=0,"",F40/$L$10)</f>
        <v/>
      </c>
    </row>
    <row r="41" spans="1:13" x14ac:dyDescent="0.25">
      <c r="A41" s="135"/>
      <c r="B41" s="144" t="s">
        <v>305</v>
      </c>
      <c r="G41" s="143" t="s">
        <v>36</v>
      </c>
      <c r="H41" s="2">
        <f>SUM(H38:H40)</f>
        <v>0</v>
      </c>
    </row>
    <row r="42" spans="1:13" x14ac:dyDescent="0.25">
      <c r="A42" s="135"/>
      <c r="B42" s="137"/>
      <c r="G42" s="143"/>
      <c r="H42" s="145"/>
    </row>
    <row r="43" spans="1:13" x14ac:dyDescent="0.25">
      <c r="A43" s="135">
        <v>7</v>
      </c>
      <c r="B43" s="137" t="s">
        <v>466</v>
      </c>
      <c r="G43" s="143"/>
      <c r="H43" s="145"/>
    </row>
    <row r="44" spans="1:13" x14ac:dyDescent="0.25">
      <c r="B44" s="146" t="s">
        <v>196</v>
      </c>
      <c r="G44" s="143"/>
      <c r="H44" s="145"/>
      <c r="I44" s="145"/>
      <c r="J44" s="147"/>
    </row>
    <row r="45" spans="1:13" x14ac:dyDescent="0.25">
      <c r="B45" s="477" t="s">
        <v>29</v>
      </c>
      <c r="C45" s="479" t="s">
        <v>200</v>
      </c>
      <c r="D45" s="480"/>
      <c r="E45" s="480"/>
      <c r="F45" s="480"/>
      <c r="G45" s="481"/>
      <c r="H45" s="542" t="s">
        <v>467</v>
      </c>
      <c r="I45" s="466"/>
      <c r="J45" s="466"/>
      <c r="K45" s="466"/>
      <c r="L45" s="466"/>
      <c r="M45" s="467"/>
    </row>
    <row r="46" spans="1:13" ht="29.25" customHeight="1" x14ac:dyDescent="0.25">
      <c r="B46" s="478"/>
      <c r="C46" s="482"/>
      <c r="D46" s="483"/>
      <c r="E46" s="483"/>
      <c r="F46" s="483"/>
      <c r="G46" s="484"/>
      <c r="H46" s="513" t="s">
        <v>468</v>
      </c>
      <c r="I46" s="513"/>
      <c r="J46" s="513" t="s">
        <v>469</v>
      </c>
      <c r="K46" s="513"/>
      <c r="L46" s="513" t="s">
        <v>470</v>
      </c>
      <c r="M46" s="513"/>
    </row>
    <row r="47" spans="1:13" x14ac:dyDescent="0.25">
      <c r="B47" s="260"/>
      <c r="C47" s="531"/>
      <c r="D47" s="531"/>
      <c r="E47" s="531"/>
      <c r="F47" s="531"/>
      <c r="G47" s="531"/>
      <c r="H47" s="532"/>
      <c r="I47" s="532"/>
      <c r="J47" s="532"/>
      <c r="K47" s="532"/>
      <c r="L47" s="532"/>
      <c r="M47" s="532"/>
    </row>
    <row r="48" spans="1:13" x14ac:dyDescent="0.25">
      <c r="B48" s="260"/>
      <c r="C48" s="531"/>
      <c r="D48" s="531"/>
      <c r="E48" s="531"/>
      <c r="F48" s="531"/>
      <c r="G48" s="531"/>
      <c r="H48" s="532"/>
      <c r="I48" s="532"/>
      <c r="J48" s="532"/>
      <c r="K48" s="532"/>
      <c r="L48" s="532"/>
      <c r="M48" s="532"/>
    </row>
    <row r="49" spans="1:14" x14ac:dyDescent="0.25">
      <c r="B49" s="260"/>
      <c r="C49" s="531"/>
      <c r="D49" s="531"/>
      <c r="E49" s="531"/>
      <c r="F49" s="531"/>
      <c r="G49" s="531"/>
      <c r="H49" s="532"/>
      <c r="I49" s="532"/>
      <c r="J49" s="532"/>
      <c r="K49" s="532"/>
      <c r="L49" s="532"/>
      <c r="M49" s="532"/>
    </row>
    <row r="50" spans="1:14" x14ac:dyDescent="0.25">
      <c r="G50" s="143" t="s">
        <v>36</v>
      </c>
      <c r="H50" s="530">
        <f>SUM(H47:H49)</f>
        <v>0</v>
      </c>
      <c r="I50" s="530"/>
      <c r="J50" s="530">
        <f>SUM(J47:K49)</f>
        <v>0</v>
      </c>
      <c r="K50" s="530"/>
      <c r="L50" s="530">
        <f>SUM(L47:M49)</f>
        <v>0</v>
      </c>
      <c r="M50" s="530"/>
    </row>
    <row r="51" spans="1:14" x14ac:dyDescent="0.25">
      <c r="G51" s="143"/>
      <c r="H51" s="144" t="s">
        <v>306</v>
      </c>
      <c r="I51" s="145"/>
      <c r="J51" s="147"/>
    </row>
    <row r="52" spans="1:14" x14ac:dyDescent="0.25">
      <c r="A52" s="200">
        <v>8</v>
      </c>
      <c r="B52" s="137" t="s">
        <v>261</v>
      </c>
      <c r="E52" s="148"/>
    </row>
    <row r="53" spans="1:14" x14ac:dyDescent="0.25">
      <c r="B53" s="479" t="s">
        <v>262</v>
      </c>
      <c r="C53" s="480"/>
      <c r="D53" s="480"/>
      <c r="E53" s="480"/>
      <c r="F53" s="481"/>
      <c r="G53" s="23" t="s">
        <v>268</v>
      </c>
    </row>
    <row r="54" spans="1:14" x14ac:dyDescent="0.25">
      <c r="A54" s="135"/>
      <c r="B54" s="482"/>
      <c r="C54" s="483"/>
      <c r="D54" s="483"/>
      <c r="E54" s="483"/>
      <c r="F54" s="484"/>
      <c r="G54" s="24" t="str">
        <f>+M8</f>
        <v>Jun '09</v>
      </c>
      <c r="H54" s="152"/>
      <c r="M54" s="140"/>
      <c r="N54" s="140"/>
    </row>
    <row r="55" spans="1:14" x14ac:dyDescent="0.25">
      <c r="A55" s="135"/>
      <c r="B55" s="490" t="s">
        <v>471</v>
      </c>
      <c r="C55" s="491"/>
      <c r="D55" s="494" t="s">
        <v>472</v>
      </c>
      <c r="E55" s="495"/>
      <c r="F55" s="496"/>
      <c r="G55" s="499">
        <f>+L8*(J19-H24-H50)</f>
        <v>0</v>
      </c>
      <c r="H55" s="150" t="str">
        <f>+IF(G55&lt;0,"Excess credit may be used to offset Hb of further development on this land (Policy s12(4))","")</f>
        <v/>
      </c>
    </row>
    <row r="56" spans="1:14" x14ac:dyDescent="0.25">
      <c r="B56" s="492"/>
      <c r="C56" s="493"/>
      <c r="D56" s="497"/>
      <c r="E56" s="497"/>
      <c r="F56" s="498"/>
      <c r="G56" s="500"/>
    </row>
    <row r="57" spans="1:14" x14ac:dyDescent="0.25">
      <c r="B57" s="490" t="s">
        <v>473</v>
      </c>
      <c r="C57" s="491"/>
      <c r="D57" s="494" t="s">
        <v>474</v>
      </c>
      <c r="E57" s="495"/>
      <c r="F57" s="496"/>
      <c r="G57" s="499">
        <f>+L9*(J19-H33-J50)</f>
        <v>0</v>
      </c>
      <c r="H57" s="150" t="str">
        <f>+IF(G57&lt;0,"Excess credit may be used to offset Hr of further development on this land (Policy s12(4))","")</f>
        <v/>
      </c>
    </row>
    <row r="58" spans="1:14" x14ac:dyDescent="0.25">
      <c r="B58" s="492"/>
      <c r="C58" s="493"/>
      <c r="D58" s="497"/>
      <c r="E58" s="497"/>
      <c r="F58" s="498"/>
      <c r="G58" s="501"/>
    </row>
    <row r="59" spans="1:14" x14ac:dyDescent="0.25">
      <c r="B59" s="490" t="s">
        <v>475</v>
      </c>
      <c r="C59" s="491"/>
      <c r="D59" s="494" t="s">
        <v>476</v>
      </c>
      <c r="E59" s="495"/>
      <c r="F59" s="496"/>
      <c r="G59" s="500">
        <f>+L10*(J19-H41-L50)</f>
        <v>0</v>
      </c>
      <c r="H59" s="150" t="str">
        <f>+IF(G59&lt;0,"Excess credit may be used to offset Hm of further development on this land (Policy s12(4))","")</f>
        <v/>
      </c>
    </row>
    <row r="60" spans="1:14" x14ac:dyDescent="0.25">
      <c r="B60" s="492"/>
      <c r="C60" s="493"/>
      <c r="D60" s="497"/>
      <c r="E60" s="497"/>
      <c r="F60" s="498"/>
      <c r="G60" s="501"/>
    </row>
    <row r="61" spans="1:14" x14ac:dyDescent="0.25">
      <c r="G61" s="152"/>
    </row>
    <row r="64" spans="1:14" x14ac:dyDescent="0.25">
      <c r="B64" s="158" t="s">
        <v>42</v>
      </c>
    </row>
    <row r="66" spans="2:30" x14ac:dyDescent="0.25">
      <c r="B66" s="521" t="s">
        <v>30</v>
      </c>
      <c r="C66" s="522"/>
      <c r="D66" s="522"/>
      <c r="E66" s="523"/>
    </row>
    <row r="67" spans="2:30" x14ac:dyDescent="0.25">
      <c r="B67" s="264" t="s">
        <v>35</v>
      </c>
      <c r="C67" s="262"/>
      <c r="D67" s="262"/>
      <c r="E67" s="263"/>
    </row>
    <row r="68" spans="2:30" x14ac:dyDescent="0.25">
      <c r="B68" s="265" t="s">
        <v>198</v>
      </c>
      <c r="E68" s="266"/>
    </row>
    <row r="69" spans="2:30" x14ac:dyDescent="0.25">
      <c r="B69" s="267" t="s">
        <v>199</v>
      </c>
      <c r="C69" s="268"/>
      <c r="D69" s="268"/>
      <c r="E69" s="269"/>
    </row>
    <row r="72" spans="2:30" ht="12.75" customHeight="1" x14ac:dyDescent="0.25">
      <c r="B72" s="524" t="s">
        <v>97</v>
      </c>
      <c r="C72" s="525"/>
      <c r="D72" s="525"/>
      <c r="E72" s="525"/>
      <c r="F72" s="526"/>
      <c r="H72" s="527" t="s">
        <v>98</v>
      </c>
      <c r="I72" s="528"/>
      <c r="J72" s="528"/>
      <c r="K72" s="528"/>
      <c r="L72" s="529"/>
      <c r="M72" s="159"/>
      <c r="N72" s="527" t="s">
        <v>99</v>
      </c>
      <c r="O72" s="528"/>
      <c r="P72" s="528"/>
      <c r="Q72" s="528"/>
      <c r="R72" s="529"/>
      <c r="Z72" s="524" t="s">
        <v>43</v>
      </c>
      <c r="AA72" s="525"/>
      <c r="AB72" s="525"/>
      <c r="AC72" s="525"/>
      <c r="AD72" s="526"/>
    </row>
    <row r="73" spans="2:30" x14ac:dyDescent="0.25">
      <c r="B73" s="515" t="s">
        <v>88</v>
      </c>
      <c r="C73" s="516"/>
      <c r="D73" s="517"/>
      <c r="E73" s="261" t="s">
        <v>17</v>
      </c>
      <c r="F73" s="271" t="s">
        <v>477</v>
      </c>
      <c r="H73" s="518" t="s">
        <v>16</v>
      </c>
      <c r="I73" s="519"/>
      <c r="J73" s="520"/>
      <c r="K73" s="261" t="s">
        <v>17</v>
      </c>
      <c r="L73" s="272" t="s">
        <v>110</v>
      </c>
      <c r="N73" s="518" t="s">
        <v>136</v>
      </c>
      <c r="O73" s="519"/>
      <c r="P73" s="520"/>
      <c r="Q73" s="261" t="s">
        <v>17</v>
      </c>
      <c r="R73" s="271" t="s">
        <v>110</v>
      </c>
      <c r="Z73" s="521" t="str">
        <f>IF($T$3=1,B73,N73)</f>
        <v>Item</v>
      </c>
      <c r="AA73" s="522"/>
      <c r="AB73" s="523"/>
      <c r="AC73" s="273" t="str">
        <f>IF($T$3=1,E73,Q73)</f>
        <v>Unit</v>
      </c>
      <c r="AD73" s="274" t="str">
        <f>IF($T$3=1,F73,R73)</f>
        <v>WU/unit</v>
      </c>
    </row>
    <row r="74" spans="2:30" x14ac:dyDescent="0.25">
      <c r="B74" s="264"/>
      <c r="C74" s="262"/>
      <c r="D74" s="262"/>
      <c r="E74" s="275"/>
      <c r="F74" s="275"/>
      <c r="H74" s="264" t="s">
        <v>35</v>
      </c>
      <c r="I74" s="262"/>
      <c r="J74" s="262"/>
      <c r="K74" s="275"/>
      <c r="L74" s="275"/>
      <c r="N74" s="264" t="s">
        <v>35</v>
      </c>
      <c r="O74" s="262"/>
      <c r="P74" s="262"/>
      <c r="Q74" s="275" t="s">
        <v>35</v>
      </c>
      <c r="R74" s="270" t="s">
        <v>35</v>
      </c>
      <c r="Z74" s="276" t="s">
        <v>35</v>
      </c>
      <c r="AA74" s="277"/>
      <c r="AB74" s="278"/>
      <c r="AC74" s="279" t="s">
        <v>35</v>
      </c>
      <c r="AD74" s="280" t="s">
        <v>35</v>
      </c>
    </row>
    <row r="75" spans="2:30" x14ac:dyDescent="0.25">
      <c r="B75" s="265" t="s">
        <v>111</v>
      </c>
      <c r="E75" s="281" t="s">
        <v>20</v>
      </c>
      <c r="F75" s="281"/>
      <c r="H75" s="265" t="s">
        <v>111</v>
      </c>
      <c r="K75" s="281" t="s">
        <v>20</v>
      </c>
      <c r="L75" s="281"/>
      <c r="N75" s="265" t="s">
        <v>165</v>
      </c>
      <c r="Q75" s="281" t="s">
        <v>164</v>
      </c>
      <c r="R75" s="282" t="s">
        <v>478</v>
      </c>
      <c r="Z75" s="283" t="str">
        <f>IF($T$3=2,B75,N75)</f>
        <v>Accomodation units</v>
      </c>
      <c r="AA75" s="284"/>
      <c r="AB75" s="285"/>
      <c r="AC75" s="286" t="str">
        <f>IF($T$3=2,E75,Q75)</f>
        <v>bed</v>
      </c>
      <c r="AD75" s="287" t="str">
        <f>IF($T$3=2,F75,R75)</f>
        <v>8 + 4/bed</v>
      </c>
    </row>
    <row r="76" spans="2:30" x14ac:dyDescent="0.25">
      <c r="B76" s="265" t="s">
        <v>130</v>
      </c>
      <c r="E76" s="281" t="s">
        <v>18</v>
      </c>
      <c r="F76" s="281">
        <v>24</v>
      </c>
      <c r="H76" s="265" t="s">
        <v>116</v>
      </c>
      <c r="K76" s="281" t="s">
        <v>19</v>
      </c>
      <c r="L76" s="281">
        <v>90</v>
      </c>
      <c r="N76" s="265"/>
      <c r="Q76" s="281"/>
      <c r="R76" s="282"/>
      <c r="Z76" s="283">
        <f t="shared" ref="Z76:Z120" si="0">IF($T$3=2,B76,N76)</f>
        <v>0</v>
      </c>
      <c r="AA76" s="284"/>
      <c r="AB76" s="285"/>
      <c r="AC76" s="286">
        <f t="shared" ref="AC76:AD120" si="1">IF($T$3=2,E76,Q76)</f>
        <v>0</v>
      </c>
      <c r="AD76" s="287">
        <f t="shared" si="1"/>
        <v>0</v>
      </c>
    </row>
    <row r="77" spans="2:30" x14ac:dyDescent="0.25">
      <c r="B77" s="265" t="s">
        <v>131</v>
      </c>
      <c r="E77" s="281" t="s">
        <v>19</v>
      </c>
      <c r="F77" s="281">
        <v>90</v>
      </c>
      <c r="H77" s="265" t="s">
        <v>121</v>
      </c>
      <c r="K77" s="281" t="s">
        <v>20</v>
      </c>
      <c r="L77" s="281"/>
      <c r="N77" s="265" t="s">
        <v>137</v>
      </c>
      <c r="Q77" s="281" t="s">
        <v>20</v>
      </c>
      <c r="R77" s="282"/>
      <c r="Z77" s="283" t="str">
        <f t="shared" si="0"/>
        <v>Agriculture</v>
      </c>
      <c r="AA77" s="284"/>
      <c r="AB77" s="285"/>
      <c r="AC77" s="286" t="str">
        <f t="shared" si="1"/>
        <v>FPA</v>
      </c>
      <c r="AD77" s="287">
        <f t="shared" si="1"/>
        <v>0</v>
      </c>
    </row>
    <row r="78" spans="2:30" x14ac:dyDescent="0.25">
      <c r="B78" s="265" t="s">
        <v>121</v>
      </c>
      <c r="E78" s="281" t="s">
        <v>20</v>
      </c>
      <c r="F78" s="281"/>
      <c r="H78" s="265" t="s">
        <v>26</v>
      </c>
      <c r="K78" s="281" t="s">
        <v>19</v>
      </c>
      <c r="L78" s="281">
        <v>45</v>
      </c>
      <c r="N78" s="265" t="s">
        <v>138</v>
      </c>
      <c r="Q78" s="281" t="s">
        <v>479</v>
      </c>
      <c r="R78" s="282">
        <v>12</v>
      </c>
      <c r="Z78" s="283" t="str">
        <f t="shared" si="0"/>
        <v>Animal Husbandry</v>
      </c>
      <c r="AA78" s="284"/>
      <c r="AB78" s="285"/>
      <c r="AC78" s="286" t="str">
        <f t="shared" si="1"/>
        <v>100m² roofed floor area</v>
      </c>
      <c r="AD78" s="287">
        <f t="shared" si="1"/>
        <v>12</v>
      </c>
    </row>
    <row r="79" spans="2:30" x14ac:dyDescent="0.25">
      <c r="B79" s="265" t="s">
        <v>123</v>
      </c>
      <c r="E79" s="281" t="s">
        <v>18</v>
      </c>
      <c r="F79" s="281">
        <v>12</v>
      </c>
      <c r="H79" s="265" t="s">
        <v>117</v>
      </c>
      <c r="K79" s="281" t="s">
        <v>19</v>
      </c>
      <c r="L79" s="281">
        <v>90</v>
      </c>
      <c r="N79" s="265" t="s">
        <v>139</v>
      </c>
      <c r="Q79" s="281" t="s">
        <v>20</v>
      </c>
      <c r="R79" s="282"/>
      <c r="Z79" s="283" t="str">
        <f t="shared" si="0"/>
        <v>Aquiculture</v>
      </c>
      <c r="AA79" s="284"/>
      <c r="AB79" s="285"/>
      <c r="AC79" s="286" t="str">
        <f t="shared" si="1"/>
        <v>FPA</v>
      </c>
      <c r="AD79" s="287">
        <f t="shared" si="1"/>
        <v>0</v>
      </c>
    </row>
    <row r="80" spans="2:30" x14ac:dyDescent="0.25">
      <c r="B80" s="265" t="s">
        <v>122</v>
      </c>
      <c r="E80" s="281" t="s">
        <v>19</v>
      </c>
      <c r="F80" s="281">
        <v>45</v>
      </c>
      <c r="H80" s="265" t="s">
        <v>113</v>
      </c>
      <c r="K80" s="281" t="s">
        <v>19</v>
      </c>
      <c r="L80" s="281">
        <v>45</v>
      </c>
      <c r="N80" s="265" t="s">
        <v>170</v>
      </c>
      <c r="Q80" s="281" t="s">
        <v>169</v>
      </c>
      <c r="R80" s="282">
        <v>12</v>
      </c>
      <c r="Z80" s="283" t="str">
        <f t="shared" si="0"/>
        <v>Bulk Store &lt; 150m² roofed floor area</v>
      </c>
      <c r="AA80" s="284"/>
      <c r="AB80" s="285"/>
      <c r="AC80" s="286" t="str">
        <f t="shared" si="1"/>
        <v>store</v>
      </c>
      <c r="AD80" s="287">
        <f t="shared" si="1"/>
        <v>12</v>
      </c>
    </row>
    <row r="81" spans="2:30" x14ac:dyDescent="0.25">
      <c r="B81" s="265" t="s">
        <v>132</v>
      </c>
      <c r="E81" s="281" t="s">
        <v>18</v>
      </c>
      <c r="F81" s="281">
        <v>24</v>
      </c>
      <c r="H81" s="265" t="s">
        <v>115</v>
      </c>
      <c r="K81" s="281" t="s">
        <v>19</v>
      </c>
      <c r="L81" s="281">
        <v>90</v>
      </c>
      <c r="N81" s="265" t="s">
        <v>168</v>
      </c>
      <c r="Q81" s="281" t="s">
        <v>169</v>
      </c>
      <c r="R81" s="282">
        <v>18</v>
      </c>
      <c r="Z81" s="283" t="str">
        <f t="shared" si="0"/>
        <v>Bulk Store (150m² - 300m² roofed floor area)</v>
      </c>
      <c r="AA81" s="284"/>
      <c r="AB81" s="285"/>
      <c r="AC81" s="286" t="str">
        <f t="shared" si="1"/>
        <v>store</v>
      </c>
      <c r="AD81" s="287">
        <f t="shared" si="1"/>
        <v>18</v>
      </c>
    </row>
    <row r="82" spans="2:30" x14ac:dyDescent="0.25">
      <c r="B82" s="265" t="s">
        <v>133</v>
      </c>
      <c r="E82" s="281" t="s">
        <v>19</v>
      </c>
      <c r="F82" s="281">
        <v>90</v>
      </c>
      <c r="H82" s="265" t="s">
        <v>114</v>
      </c>
      <c r="K82" s="281" t="s">
        <v>19</v>
      </c>
      <c r="L82" s="281">
        <v>45</v>
      </c>
      <c r="N82" s="265" t="s">
        <v>167</v>
      </c>
      <c r="Q82" s="281" t="s">
        <v>480</v>
      </c>
      <c r="R82" s="282" t="s">
        <v>481</v>
      </c>
      <c r="Z82" s="283" t="str">
        <f t="shared" si="0"/>
        <v>Bulk Store &gt; 300m² roofed floor area</v>
      </c>
      <c r="AA82" s="284"/>
      <c r="AB82" s="285"/>
      <c r="AC82" s="286" t="str">
        <f t="shared" si="1"/>
        <v xml:space="preserve">roofed floor area (m²) </v>
      </c>
      <c r="AD82" s="287" t="str">
        <f t="shared" si="1"/>
        <v>18 + 1.5/150m²</v>
      </c>
    </row>
    <row r="83" spans="2:30" x14ac:dyDescent="0.25">
      <c r="B83" s="265" t="s">
        <v>125</v>
      </c>
      <c r="E83" s="281" t="s">
        <v>18</v>
      </c>
      <c r="F83" s="281">
        <v>12</v>
      </c>
      <c r="H83" s="265" t="s">
        <v>112</v>
      </c>
      <c r="K83" s="281" t="s">
        <v>20</v>
      </c>
      <c r="L83" s="281"/>
      <c r="N83" s="265" t="s">
        <v>140</v>
      </c>
      <c r="Q83" s="281" t="s">
        <v>171</v>
      </c>
      <c r="R83" s="282">
        <v>6</v>
      </c>
      <c r="Z83" s="283" t="str">
        <f t="shared" si="0"/>
        <v>Caravan Park (van bay)</v>
      </c>
      <c r="AA83" s="284"/>
      <c r="AB83" s="285"/>
      <c r="AC83" s="286" t="str">
        <f t="shared" si="1"/>
        <v>bay</v>
      </c>
      <c r="AD83" s="287">
        <f t="shared" si="1"/>
        <v>6</v>
      </c>
    </row>
    <row r="84" spans="2:30" x14ac:dyDescent="0.25">
      <c r="B84" s="265" t="s">
        <v>124</v>
      </c>
      <c r="E84" s="281" t="s">
        <v>19</v>
      </c>
      <c r="F84" s="281">
        <v>45</v>
      </c>
      <c r="H84" s="265" t="s">
        <v>119</v>
      </c>
      <c r="K84" s="281" t="s">
        <v>20</v>
      </c>
      <c r="L84" s="281"/>
      <c r="N84" s="265" t="s">
        <v>141</v>
      </c>
      <c r="Q84" s="281" t="s">
        <v>172</v>
      </c>
      <c r="R84" s="282">
        <v>4</v>
      </c>
      <c r="Z84" s="283" t="str">
        <f t="shared" si="0"/>
        <v>Caravan Park (camp site)</v>
      </c>
      <c r="AA84" s="284"/>
      <c r="AB84" s="285"/>
      <c r="AC84" s="286" t="str">
        <f t="shared" si="1"/>
        <v>camp site</v>
      </c>
      <c r="AD84" s="287">
        <f t="shared" si="1"/>
        <v>4</v>
      </c>
    </row>
    <row r="85" spans="2:30" x14ac:dyDescent="0.25">
      <c r="B85" s="265" t="s">
        <v>128</v>
      </c>
      <c r="E85" s="281" t="s">
        <v>18</v>
      </c>
      <c r="F85" s="281">
        <v>24</v>
      </c>
      <c r="H85" s="265" t="s">
        <v>107</v>
      </c>
      <c r="K85" s="281" t="s">
        <v>19</v>
      </c>
      <c r="L85" s="281">
        <v>112</v>
      </c>
      <c r="N85" s="265" t="s">
        <v>95</v>
      </c>
      <c r="Q85" s="281" t="s">
        <v>173</v>
      </c>
      <c r="R85" s="282">
        <v>12</v>
      </c>
      <c r="Z85" s="283" t="str">
        <f t="shared" si="0"/>
        <v>Caretaker's Residence</v>
      </c>
      <c r="AA85" s="284"/>
      <c r="AB85" s="285"/>
      <c r="AC85" s="286" t="str">
        <f t="shared" si="1"/>
        <v>residential unit</v>
      </c>
      <c r="AD85" s="287">
        <f t="shared" si="1"/>
        <v>12</v>
      </c>
    </row>
    <row r="86" spans="2:30" x14ac:dyDescent="0.25">
      <c r="B86" s="265" t="s">
        <v>129</v>
      </c>
      <c r="E86" s="281" t="s">
        <v>19</v>
      </c>
      <c r="F86" s="281">
        <v>90</v>
      </c>
      <c r="H86" s="265" t="s">
        <v>108</v>
      </c>
      <c r="K86" s="281" t="s">
        <v>19</v>
      </c>
      <c r="L86" s="281">
        <v>135</v>
      </c>
      <c r="N86" s="265" t="s">
        <v>142</v>
      </c>
      <c r="Q86" s="281" t="s">
        <v>479</v>
      </c>
      <c r="R86" s="282">
        <v>12</v>
      </c>
      <c r="Z86" s="283" t="str">
        <f t="shared" si="0"/>
        <v>Caterer's Rooms</v>
      </c>
      <c r="AA86" s="284"/>
      <c r="AB86" s="285"/>
      <c r="AC86" s="286" t="str">
        <f t="shared" si="1"/>
        <v>100m² roofed floor area</v>
      </c>
      <c r="AD86" s="287">
        <f t="shared" si="1"/>
        <v>12</v>
      </c>
    </row>
    <row r="87" spans="2:30" x14ac:dyDescent="0.25">
      <c r="B87" s="265" t="s">
        <v>126</v>
      </c>
      <c r="E87" s="281" t="s">
        <v>18</v>
      </c>
      <c r="F87" s="281">
        <v>12</v>
      </c>
      <c r="H87" s="265" t="s">
        <v>109</v>
      </c>
      <c r="K87" s="281" t="s">
        <v>19</v>
      </c>
      <c r="L87" s="281">
        <v>335</v>
      </c>
      <c r="N87" s="265" t="s">
        <v>143</v>
      </c>
      <c r="Q87" s="281" t="s">
        <v>479</v>
      </c>
      <c r="R87" s="282">
        <v>12</v>
      </c>
      <c r="Z87" s="283" t="str">
        <f t="shared" si="0"/>
        <v>Child Care Center</v>
      </c>
      <c r="AA87" s="284"/>
      <c r="AB87" s="285"/>
      <c r="AC87" s="286" t="str">
        <f t="shared" si="1"/>
        <v>100m² roofed floor area</v>
      </c>
      <c r="AD87" s="287">
        <f t="shared" si="1"/>
        <v>12</v>
      </c>
    </row>
    <row r="88" spans="2:30" x14ac:dyDescent="0.25">
      <c r="B88" s="265" t="s">
        <v>127</v>
      </c>
      <c r="E88" s="281" t="s">
        <v>19</v>
      </c>
      <c r="F88" s="281">
        <v>45</v>
      </c>
      <c r="H88" s="265" t="s">
        <v>482</v>
      </c>
      <c r="K88" s="281" t="s">
        <v>19</v>
      </c>
      <c r="L88" s="281">
        <v>16</v>
      </c>
      <c r="N88" s="265" t="s">
        <v>144</v>
      </c>
      <c r="Q88" s="281" t="s">
        <v>174</v>
      </c>
      <c r="R88" s="282">
        <v>12</v>
      </c>
      <c r="Z88" s="283" t="str">
        <f t="shared" si="0"/>
        <v>Display Home</v>
      </c>
      <c r="AA88" s="284"/>
      <c r="AB88" s="285"/>
      <c r="AC88" s="286" t="str">
        <f t="shared" si="1"/>
        <v>home</v>
      </c>
      <c r="AD88" s="287">
        <f t="shared" si="1"/>
        <v>12</v>
      </c>
    </row>
    <row r="89" spans="2:30" x14ac:dyDescent="0.25">
      <c r="B89" s="265" t="s">
        <v>112</v>
      </c>
      <c r="E89" s="281" t="s">
        <v>20</v>
      </c>
      <c r="F89" s="281"/>
      <c r="H89" s="265" t="s">
        <v>483</v>
      </c>
      <c r="K89" s="281" t="s">
        <v>19</v>
      </c>
      <c r="L89" s="281">
        <v>16</v>
      </c>
      <c r="N89" s="265" t="s">
        <v>145</v>
      </c>
      <c r="Q89" s="281" t="s">
        <v>20</v>
      </c>
      <c r="R89" s="282"/>
      <c r="Z89" s="283" t="str">
        <f t="shared" si="0"/>
        <v>Domestic Horitculture</v>
      </c>
      <c r="AA89" s="284"/>
      <c r="AB89" s="285"/>
      <c r="AC89" s="286" t="str">
        <f t="shared" si="1"/>
        <v>FPA</v>
      </c>
      <c r="AD89" s="287">
        <f t="shared" si="1"/>
        <v>0</v>
      </c>
    </row>
    <row r="90" spans="2:30" x14ac:dyDescent="0.25">
      <c r="B90" s="265" t="s">
        <v>119</v>
      </c>
      <c r="E90" s="281" t="s">
        <v>20</v>
      </c>
      <c r="F90" s="281"/>
      <c r="H90" s="265" t="s">
        <v>120</v>
      </c>
      <c r="K90" s="281" t="s">
        <v>20</v>
      </c>
      <c r="L90" s="281"/>
      <c r="N90" s="265" t="s">
        <v>146</v>
      </c>
      <c r="Q90" s="281" t="s">
        <v>175</v>
      </c>
      <c r="R90" s="282">
        <v>21</v>
      </c>
      <c r="Z90" s="283" t="str">
        <f t="shared" si="0"/>
        <v>Duplex Dwelling</v>
      </c>
      <c r="AA90" s="284"/>
      <c r="AB90" s="285"/>
      <c r="AC90" s="286" t="str">
        <f t="shared" si="1"/>
        <v>duplex dwelling</v>
      </c>
      <c r="AD90" s="287">
        <f t="shared" si="1"/>
        <v>21</v>
      </c>
    </row>
    <row r="91" spans="2:30" x14ac:dyDescent="0.25">
      <c r="B91" s="265" t="s">
        <v>107</v>
      </c>
      <c r="E91" s="281" t="s">
        <v>18</v>
      </c>
      <c r="F91" s="281">
        <v>12</v>
      </c>
      <c r="H91" s="265" t="s">
        <v>484</v>
      </c>
      <c r="K91" s="281" t="s">
        <v>19</v>
      </c>
      <c r="L91" s="281">
        <v>75</v>
      </c>
      <c r="N91" s="265" t="s">
        <v>147</v>
      </c>
      <c r="Q91" s="281" t="s">
        <v>176</v>
      </c>
      <c r="R91" s="282">
        <v>12</v>
      </c>
      <c r="Z91" s="283" t="str">
        <f t="shared" si="0"/>
        <v>Dwelling House</v>
      </c>
      <c r="AA91" s="284"/>
      <c r="AB91" s="285"/>
      <c r="AC91" s="286" t="str">
        <f t="shared" si="1"/>
        <v>dwelling</v>
      </c>
      <c r="AD91" s="287">
        <f t="shared" si="1"/>
        <v>12</v>
      </c>
    </row>
    <row r="92" spans="2:30" x14ac:dyDescent="0.25">
      <c r="B92" s="265" t="s">
        <v>108</v>
      </c>
      <c r="E92" s="281" t="s">
        <v>18</v>
      </c>
      <c r="F92" s="281">
        <v>12</v>
      </c>
      <c r="H92" s="267" t="s">
        <v>118</v>
      </c>
      <c r="I92" s="268"/>
      <c r="J92" s="268"/>
      <c r="K92" s="288" t="s">
        <v>19</v>
      </c>
      <c r="L92" s="288">
        <v>90</v>
      </c>
      <c r="N92" s="265" t="s">
        <v>27</v>
      </c>
      <c r="Q92" s="281" t="s">
        <v>485</v>
      </c>
      <c r="R92" s="282">
        <v>12</v>
      </c>
      <c r="Z92" s="283" t="str">
        <f t="shared" si="0"/>
        <v>Educational Establishment</v>
      </c>
      <c r="AA92" s="284"/>
      <c r="AB92" s="285"/>
      <c r="AC92" s="286" t="str">
        <f t="shared" si="1"/>
        <v>100+Q40 roofed floor area</v>
      </c>
      <c r="AD92" s="287">
        <f t="shared" si="1"/>
        <v>12</v>
      </c>
    </row>
    <row r="93" spans="2:30" x14ac:dyDescent="0.25">
      <c r="B93" s="265" t="s">
        <v>109</v>
      </c>
      <c r="E93" s="281" t="s">
        <v>18</v>
      </c>
      <c r="F93" s="281">
        <v>34</v>
      </c>
      <c r="K93" s="136"/>
      <c r="L93" s="136"/>
      <c r="N93" s="265" t="s">
        <v>148</v>
      </c>
      <c r="Q93" s="281" t="s">
        <v>20</v>
      </c>
      <c r="R93" s="282"/>
      <c r="Z93" s="283" t="str">
        <f t="shared" si="0"/>
        <v>Extractive Industry</v>
      </c>
      <c r="AA93" s="284"/>
      <c r="AB93" s="285"/>
      <c r="AC93" s="286" t="str">
        <f t="shared" si="1"/>
        <v>FPA</v>
      </c>
      <c r="AD93" s="287">
        <f t="shared" si="1"/>
        <v>0</v>
      </c>
    </row>
    <row r="94" spans="2:30" x14ac:dyDescent="0.25">
      <c r="B94" s="265" t="s">
        <v>486</v>
      </c>
      <c r="E94" s="281" t="s">
        <v>20</v>
      </c>
      <c r="F94" s="281" t="s">
        <v>35</v>
      </c>
      <c r="K94" s="136" t="s">
        <v>35</v>
      </c>
      <c r="L94" s="136" t="s">
        <v>35</v>
      </c>
      <c r="N94" s="265" t="s">
        <v>149</v>
      </c>
      <c r="Q94" s="281" t="s">
        <v>479</v>
      </c>
      <c r="R94" s="282">
        <v>12</v>
      </c>
      <c r="Z94" s="283" t="str">
        <f t="shared" si="0"/>
        <v xml:space="preserve">Hospital </v>
      </c>
      <c r="AA94" s="284"/>
      <c r="AB94" s="285"/>
      <c r="AC94" s="286" t="str">
        <f t="shared" si="1"/>
        <v>100m² roofed floor area</v>
      </c>
      <c r="AD94" s="287">
        <f t="shared" si="1"/>
        <v>12</v>
      </c>
    </row>
    <row r="95" spans="2:30" x14ac:dyDescent="0.25">
      <c r="B95" s="265" t="s">
        <v>482</v>
      </c>
      <c r="E95" s="281" t="s">
        <v>18</v>
      </c>
      <c r="F95" s="281">
        <v>13</v>
      </c>
      <c r="K95" s="136" t="s">
        <v>35</v>
      </c>
      <c r="L95" s="136" t="s">
        <v>35</v>
      </c>
      <c r="N95" s="265" t="s">
        <v>96</v>
      </c>
      <c r="Q95" s="281" t="s">
        <v>20</v>
      </c>
      <c r="R95" s="282"/>
      <c r="Z95" s="283" t="str">
        <f t="shared" si="0"/>
        <v>Hotel</v>
      </c>
      <c r="AA95" s="284"/>
      <c r="AB95" s="285"/>
      <c r="AC95" s="286" t="str">
        <f t="shared" si="1"/>
        <v>FPA</v>
      </c>
      <c r="AD95" s="287">
        <f t="shared" si="1"/>
        <v>0</v>
      </c>
    </row>
    <row r="96" spans="2:30" x14ac:dyDescent="0.25">
      <c r="B96" s="265" t="s">
        <v>483</v>
      </c>
      <c r="E96" s="281" t="s">
        <v>18</v>
      </c>
      <c r="F96" s="281">
        <v>14</v>
      </c>
      <c r="K96" s="136" t="s">
        <v>35</v>
      </c>
      <c r="L96" s="136" t="s">
        <v>35</v>
      </c>
      <c r="N96" s="265" t="s">
        <v>150</v>
      </c>
      <c r="Q96" s="281" t="s">
        <v>479</v>
      </c>
      <c r="R96" s="282">
        <v>24</v>
      </c>
      <c r="Z96" s="283" t="str">
        <f t="shared" si="0"/>
        <v>Indoor Entertainment</v>
      </c>
      <c r="AA96" s="284"/>
      <c r="AB96" s="285"/>
      <c r="AC96" s="286" t="str">
        <f t="shared" si="1"/>
        <v>100m² roofed floor area</v>
      </c>
      <c r="AD96" s="287">
        <f t="shared" si="1"/>
        <v>24</v>
      </c>
    </row>
    <row r="97" spans="2:30" x14ac:dyDescent="0.25">
      <c r="B97" s="265" t="s">
        <v>120</v>
      </c>
      <c r="E97" s="281" t="s">
        <v>20</v>
      </c>
      <c r="F97" s="281"/>
      <c r="H97" s="109" t="s">
        <v>35</v>
      </c>
      <c r="K97" s="136" t="s">
        <v>35</v>
      </c>
      <c r="L97" s="136" t="s">
        <v>35</v>
      </c>
      <c r="N97" s="265" t="s">
        <v>151</v>
      </c>
      <c r="Q97" s="281" t="s">
        <v>479</v>
      </c>
      <c r="R97" s="282">
        <v>12</v>
      </c>
      <c r="Z97" s="283" t="str">
        <f t="shared" si="0"/>
        <v>Institution</v>
      </c>
      <c r="AA97" s="284"/>
      <c r="AB97" s="285"/>
      <c r="AC97" s="286" t="str">
        <f t="shared" si="1"/>
        <v>100m² roofed floor area</v>
      </c>
      <c r="AD97" s="287">
        <f t="shared" si="1"/>
        <v>12</v>
      </c>
    </row>
    <row r="98" spans="2:30" x14ac:dyDescent="0.25">
      <c r="B98" s="265" t="s">
        <v>484</v>
      </c>
      <c r="E98" s="281" t="s">
        <v>18</v>
      </c>
      <c r="F98" s="281">
        <v>12</v>
      </c>
      <c r="H98" s="109" t="s">
        <v>35</v>
      </c>
      <c r="K98" s="136" t="s">
        <v>35</v>
      </c>
      <c r="L98" s="136" t="s">
        <v>35</v>
      </c>
      <c r="N98" s="265" t="s">
        <v>152</v>
      </c>
      <c r="Q98" s="281" t="s">
        <v>479</v>
      </c>
      <c r="R98" s="282">
        <v>12</v>
      </c>
      <c r="Z98" s="283" t="str">
        <f t="shared" si="0"/>
        <v>Junkyard</v>
      </c>
      <c r="AA98" s="284"/>
      <c r="AB98" s="285"/>
      <c r="AC98" s="286" t="str">
        <f t="shared" si="1"/>
        <v>100m² roofed floor area</v>
      </c>
      <c r="AD98" s="287">
        <f t="shared" si="1"/>
        <v>12</v>
      </c>
    </row>
    <row r="99" spans="2:30" x14ac:dyDescent="0.25">
      <c r="B99" s="265" t="s">
        <v>134</v>
      </c>
      <c r="E99" s="281" t="s">
        <v>18</v>
      </c>
      <c r="F99" s="281">
        <v>24</v>
      </c>
      <c r="H99" s="109" t="s">
        <v>35</v>
      </c>
      <c r="K99" s="136" t="s">
        <v>35</v>
      </c>
      <c r="L99" s="136" t="s">
        <v>35</v>
      </c>
      <c r="N99" s="265" t="s">
        <v>153</v>
      </c>
      <c r="Q99" s="281" t="s">
        <v>479</v>
      </c>
      <c r="R99" s="282">
        <v>12</v>
      </c>
      <c r="Z99" s="283" t="str">
        <f t="shared" si="0"/>
        <v>Kennels</v>
      </c>
      <c r="AA99" s="284"/>
      <c r="AB99" s="285"/>
      <c r="AC99" s="286" t="str">
        <f t="shared" si="1"/>
        <v>100m² roofed floor area</v>
      </c>
      <c r="AD99" s="287">
        <f t="shared" si="1"/>
        <v>12</v>
      </c>
    </row>
    <row r="100" spans="2:30" x14ac:dyDescent="0.25">
      <c r="B100" s="267" t="s">
        <v>135</v>
      </c>
      <c r="C100" s="268"/>
      <c r="D100" s="268"/>
      <c r="E100" s="288" t="s">
        <v>19</v>
      </c>
      <c r="F100" s="288">
        <v>90</v>
      </c>
      <c r="H100" s="109" t="s">
        <v>35</v>
      </c>
      <c r="K100" s="136" t="s">
        <v>35</v>
      </c>
      <c r="L100" s="136" t="s">
        <v>35</v>
      </c>
      <c r="N100" s="265" t="s">
        <v>156</v>
      </c>
      <c r="Q100" s="281" t="s">
        <v>479</v>
      </c>
      <c r="R100" s="282">
        <v>12</v>
      </c>
      <c r="Z100" s="283" t="str">
        <f t="shared" si="0"/>
        <v>Liquid Fuel Depot</v>
      </c>
      <c r="AA100" s="284"/>
      <c r="AB100" s="285"/>
      <c r="AC100" s="286" t="str">
        <f t="shared" si="1"/>
        <v>100m² roofed floor area</v>
      </c>
      <c r="AD100" s="287">
        <f t="shared" si="1"/>
        <v>12</v>
      </c>
    </row>
    <row r="101" spans="2:30" x14ac:dyDescent="0.25">
      <c r="B101" s="109" t="s">
        <v>35</v>
      </c>
      <c r="E101" s="109" t="s">
        <v>35</v>
      </c>
      <c r="F101" s="109" t="s">
        <v>35</v>
      </c>
      <c r="H101" s="109" t="s">
        <v>35</v>
      </c>
      <c r="K101" s="136" t="s">
        <v>35</v>
      </c>
      <c r="L101" s="136" t="s">
        <v>35</v>
      </c>
      <c r="N101" s="265" t="s">
        <v>154</v>
      </c>
      <c r="Q101" s="281" t="s">
        <v>479</v>
      </c>
      <c r="R101" s="282">
        <v>12</v>
      </c>
      <c r="Z101" s="283" t="str">
        <f t="shared" si="0"/>
        <v>Local Services</v>
      </c>
      <c r="AA101" s="284"/>
      <c r="AB101" s="285"/>
      <c r="AC101" s="286" t="str">
        <f t="shared" si="1"/>
        <v>100m² roofed floor area</v>
      </c>
      <c r="AD101" s="287">
        <f t="shared" si="1"/>
        <v>12</v>
      </c>
    </row>
    <row r="102" spans="2:30" x14ac:dyDescent="0.25">
      <c r="B102" s="109" t="s">
        <v>35</v>
      </c>
      <c r="E102" s="109" t="s">
        <v>35</v>
      </c>
      <c r="F102" s="109" t="s">
        <v>35</v>
      </c>
      <c r="H102" s="109" t="s">
        <v>35</v>
      </c>
      <c r="K102" s="136" t="s">
        <v>35</v>
      </c>
      <c r="L102" s="136" t="s">
        <v>35</v>
      </c>
      <c r="N102" s="265" t="s">
        <v>155</v>
      </c>
      <c r="Q102" s="281" t="s">
        <v>169</v>
      </c>
      <c r="R102" s="282">
        <v>12</v>
      </c>
      <c r="Z102" s="283" t="str">
        <f t="shared" si="0"/>
        <v>Local Store</v>
      </c>
      <c r="AA102" s="284"/>
      <c r="AB102" s="285"/>
      <c r="AC102" s="286" t="str">
        <f t="shared" si="1"/>
        <v>store</v>
      </c>
      <c r="AD102" s="287">
        <f t="shared" si="1"/>
        <v>12</v>
      </c>
    </row>
    <row r="103" spans="2:30" x14ac:dyDescent="0.25">
      <c r="B103" s="109" t="s">
        <v>35</v>
      </c>
      <c r="E103" s="109" t="s">
        <v>35</v>
      </c>
      <c r="F103" s="109" t="s">
        <v>35</v>
      </c>
      <c r="H103" s="109" t="s">
        <v>35</v>
      </c>
      <c r="K103" s="136" t="s">
        <v>35</v>
      </c>
      <c r="L103" s="136" t="s">
        <v>35</v>
      </c>
      <c r="N103" s="265" t="s">
        <v>157</v>
      </c>
      <c r="Q103" s="281" t="s">
        <v>479</v>
      </c>
      <c r="R103" s="282">
        <v>6</v>
      </c>
      <c r="Z103" s="283" t="str">
        <f t="shared" si="0"/>
        <v>Machinery Showroom</v>
      </c>
      <c r="AA103" s="284"/>
      <c r="AB103" s="285"/>
      <c r="AC103" s="286" t="str">
        <f t="shared" si="1"/>
        <v>100m² roofed floor area</v>
      </c>
      <c r="AD103" s="287">
        <f t="shared" si="1"/>
        <v>6</v>
      </c>
    </row>
    <row r="104" spans="2:30" x14ac:dyDescent="0.25">
      <c r="B104" s="109" t="s">
        <v>35</v>
      </c>
      <c r="E104" s="109" t="s">
        <v>35</v>
      </c>
      <c r="F104" s="109" t="s">
        <v>35</v>
      </c>
      <c r="H104" s="109" t="s">
        <v>35</v>
      </c>
      <c r="K104" s="136" t="s">
        <v>35</v>
      </c>
      <c r="L104" s="136" t="s">
        <v>35</v>
      </c>
      <c r="N104" s="265" t="s">
        <v>23</v>
      </c>
      <c r="Q104" s="281" t="s">
        <v>479</v>
      </c>
      <c r="R104" s="282">
        <v>12</v>
      </c>
      <c r="Z104" s="283" t="str">
        <f t="shared" si="0"/>
        <v>Medical Centre</v>
      </c>
      <c r="AA104" s="284"/>
      <c r="AB104" s="285"/>
      <c r="AC104" s="286" t="str">
        <f t="shared" si="1"/>
        <v>100m² roofed floor area</v>
      </c>
      <c r="AD104" s="287">
        <f t="shared" si="1"/>
        <v>12</v>
      </c>
    </row>
    <row r="105" spans="2:30" x14ac:dyDescent="0.25">
      <c r="B105" s="109" t="s">
        <v>35</v>
      </c>
      <c r="E105" s="109" t="s">
        <v>35</v>
      </c>
      <c r="F105" s="109" t="s">
        <v>35</v>
      </c>
      <c r="H105" s="109" t="s">
        <v>35</v>
      </c>
      <c r="K105" s="136" t="s">
        <v>35</v>
      </c>
      <c r="L105" s="136" t="s">
        <v>35</v>
      </c>
      <c r="N105" s="265" t="s">
        <v>158</v>
      </c>
      <c r="Q105" s="281" t="s">
        <v>479</v>
      </c>
      <c r="R105" s="282">
        <v>12</v>
      </c>
      <c r="Z105" s="283" t="str">
        <f t="shared" si="0"/>
        <v>Meeting Rooms</v>
      </c>
      <c r="AA105" s="284"/>
      <c r="AB105" s="285"/>
      <c r="AC105" s="286" t="str">
        <f t="shared" si="1"/>
        <v>100m² roofed floor area</v>
      </c>
      <c r="AD105" s="287">
        <f t="shared" si="1"/>
        <v>12</v>
      </c>
    </row>
    <row r="106" spans="2:30" x14ac:dyDescent="0.25">
      <c r="B106" s="109" t="s">
        <v>35</v>
      </c>
      <c r="E106" s="109" t="s">
        <v>35</v>
      </c>
      <c r="F106" s="109" t="s">
        <v>35</v>
      </c>
      <c r="H106" s="109" t="s">
        <v>35</v>
      </c>
      <c r="K106" s="136" t="s">
        <v>35</v>
      </c>
      <c r="L106" s="136" t="s">
        <v>35</v>
      </c>
      <c r="N106" s="265" t="s">
        <v>24</v>
      </c>
      <c r="Q106" s="281" t="s">
        <v>177</v>
      </c>
      <c r="R106" s="282">
        <v>4</v>
      </c>
      <c r="Z106" s="283" t="str">
        <f t="shared" si="0"/>
        <v>Motel</v>
      </c>
      <c r="AA106" s="284"/>
      <c r="AB106" s="285"/>
      <c r="AC106" s="286" t="str">
        <f t="shared" si="1"/>
        <v>motel unit</v>
      </c>
      <c r="AD106" s="287">
        <f t="shared" si="1"/>
        <v>4</v>
      </c>
    </row>
    <row r="107" spans="2:30" x14ac:dyDescent="0.25">
      <c r="B107" s="109" t="s">
        <v>35</v>
      </c>
      <c r="E107" s="109" t="s">
        <v>35</v>
      </c>
      <c r="F107" s="109" t="s">
        <v>35</v>
      </c>
      <c r="H107" s="109" t="s">
        <v>35</v>
      </c>
      <c r="K107" s="136" t="s">
        <v>35</v>
      </c>
      <c r="L107" s="136" t="s">
        <v>35</v>
      </c>
      <c r="N107" s="265" t="s">
        <v>178</v>
      </c>
      <c r="Q107" s="281" t="s">
        <v>179</v>
      </c>
      <c r="R107" s="282" t="s">
        <v>487</v>
      </c>
      <c r="Z107" s="283" t="str">
        <f t="shared" si="0"/>
        <v>Multiple Dwellings</v>
      </c>
      <c r="AA107" s="284"/>
      <c r="AB107" s="285"/>
      <c r="AC107" s="286" t="str">
        <f t="shared" si="1"/>
        <v>units</v>
      </c>
      <c r="AD107" s="287" t="str">
        <f t="shared" si="1"/>
        <v>3 + 9/unit</v>
      </c>
    </row>
    <row r="108" spans="2:30" x14ac:dyDescent="0.25">
      <c r="B108" s="109" t="s">
        <v>35</v>
      </c>
      <c r="E108" s="109" t="s">
        <v>35</v>
      </c>
      <c r="F108" s="109" t="s">
        <v>35</v>
      </c>
      <c r="H108" s="109" t="s">
        <v>35</v>
      </c>
      <c r="K108" s="136" t="s">
        <v>35</v>
      </c>
      <c r="L108" s="136" t="s">
        <v>35</v>
      </c>
      <c r="N108" s="265" t="s">
        <v>159</v>
      </c>
      <c r="Q108" s="281" t="s">
        <v>479</v>
      </c>
      <c r="R108" s="282">
        <v>9</v>
      </c>
      <c r="Z108" s="283" t="str">
        <f t="shared" si="0"/>
        <v>Offices</v>
      </c>
      <c r="AA108" s="284"/>
      <c r="AB108" s="285"/>
      <c r="AC108" s="286" t="str">
        <f t="shared" si="1"/>
        <v>100m² roofed floor area</v>
      </c>
      <c r="AD108" s="287">
        <f t="shared" si="1"/>
        <v>9</v>
      </c>
    </row>
    <row r="109" spans="2:30" x14ac:dyDescent="0.25">
      <c r="B109" s="109" t="s">
        <v>35</v>
      </c>
      <c r="E109" s="109" t="s">
        <v>35</v>
      </c>
      <c r="F109" s="109" t="s">
        <v>35</v>
      </c>
      <c r="H109" s="109" t="s">
        <v>35</v>
      </c>
      <c r="K109" s="136" t="s">
        <v>35</v>
      </c>
      <c r="L109" s="136" t="s">
        <v>35</v>
      </c>
      <c r="N109" s="265" t="s">
        <v>160</v>
      </c>
      <c r="Q109" s="281" t="s">
        <v>20</v>
      </c>
      <c r="R109" s="282"/>
      <c r="Z109" s="283" t="str">
        <f t="shared" si="0"/>
        <v>Open Air Displays</v>
      </c>
      <c r="AA109" s="284"/>
      <c r="AB109" s="285"/>
      <c r="AC109" s="286" t="str">
        <f t="shared" si="1"/>
        <v>FPA</v>
      </c>
      <c r="AD109" s="287">
        <f t="shared" si="1"/>
        <v>0</v>
      </c>
    </row>
    <row r="110" spans="2:30" x14ac:dyDescent="0.25">
      <c r="B110" s="109" t="s">
        <v>35</v>
      </c>
      <c r="E110" s="109" t="s">
        <v>35</v>
      </c>
      <c r="F110" s="109" t="s">
        <v>35</v>
      </c>
      <c r="H110" s="109" t="s">
        <v>35</v>
      </c>
      <c r="K110" s="136" t="s">
        <v>35</v>
      </c>
      <c r="L110" s="136" t="s">
        <v>35</v>
      </c>
      <c r="N110" s="265" t="s">
        <v>161</v>
      </c>
      <c r="Q110" s="281" t="s">
        <v>20</v>
      </c>
      <c r="R110" s="282"/>
      <c r="Z110" s="283" t="str">
        <f t="shared" si="0"/>
        <v>Outdoor Entertainment</v>
      </c>
      <c r="AA110" s="284"/>
      <c r="AB110" s="285"/>
      <c r="AC110" s="286" t="str">
        <f t="shared" si="1"/>
        <v>FPA</v>
      </c>
      <c r="AD110" s="287">
        <f t="shared" si="1"/>
        <v>0</v>
      </c>
    </row>
    <row r="111" spans="2:30" x14ac:dyDescent="0.25">
      <c r="B111" s="109" t="s">
        <v>35</v>
      </c>
      <c r="E111" s="109" t="s">
        <v>35</v>
      </c>
      <c r="F111" s="109" t="s">
        <v>35</v>
      </c>
      <c r="H111" s="109" t="s">
        <v>35</v>
      </c>
      <c r="K111" s="136" t="s">
        <v>35</v>
      </c>
      <c r="L111" s="136" t="s">
        <v>35</v>
      </c>
      <c r="N111" s="265" t="s">
        <v>162</v>
      </c>
      <c r="Q111" s="281" t="s">
        <v>20</v>
      </c>
      <c r="R111" s="282"/>
      <c r="Z111" s="283" t="str">
        <f t="shared" si="0"/>
        <v>Parking Area</v>
      </c>
      <c r="AA111" s="284"/>
      <c r="AB111" s="285"/>
      <c r="AC111" s="286" t="str">
        <f t="shared" si="1"/>
        <v>FPA</v>
      </c>
      <c r="AD111" s="287">
        <f t="shared" si="1"/>
        <v>0</v>
      </c>
    </row>
    <row r="112" spans="2:30" x14ac:dyDescent="0.25">
      <c r="B112" s="109" t="s">
        <v>35</v>
      </c>
      <c r="E112" s="109" t="s">
        <v>35</v>
      </c>
      <c r="F112" s="109" t="s">
        <v>35</v>
      </c>
      <c r="H112" s="109" t="s">
        <v>35</v>
      </c>
      <c r="K112" s="136" t="s">
        <v>35</v>
      </c>
      <c r="L112" s="136" t="s">
        <v>35</v>
      </c>
      <c r="N112" s="265" t="s">
        <v>163</v>
      </c>
      <c r="Q112" s="281" t="s">
        <v>479</v>
      </c>
      <c r="R112" s="282">
        <v>12</v>
      </c>
      <c r="Z112" s="283" t="str">
        <f t="shared" si="0"/>
        <v>Passenger Terminal</v>
      </c>
      <c r="AA112" s="284"/>
      <c r="AB112" s="285"/>
      <c r="AC112" s="286" t="str">
        <f t="shared" si="1"/>
        <v>100m² roofed floor area</v>
      </c>
      <c r="AD112" s="287">
        <f t="shared" si="1"/>
        <v>12</v>
      </c>
    </row>
    <row r="113" spans="2:30" x14ac:dyDescent="0.25">
      <c r="B113" s="109" t="s">
        <v>35</v>
      </c>
      <c r="E113" s="109" t="s">
        <v>35</v>
      </c>
      <c r="F113" s="109" t="s">
        <v>35</v>
      </c>
      <c r="H113" s="109" t="s">
        <v>35</v>
      </c>
      <c r="K113" s="136" t="s">
        <v>35</v>
      </c>
      <c r="L113" s="136" t="s">
        <v>35</v>
      </c>
      <c r="N113" s="265" t="s">
        <v>202</v>
      </c>
      <c r="Q113" s="281" t="s">
        <v>488</v>
      </c>
      <c r="R113" s="282">
        <v>12</v>
      </c>
      <c r="Z113" s="283" t="str">
        <f t="shared" si="0"/>
        <v>Place of Public Worship</v>
      </c>
      <c r="AA113" s="284"/>
      <c r="AB113" s="285"/>
      <c r="AC113" s="286" t="str">
        <f t="shared" si="1"/>
        <v>100m² landscaped area</v>
      </c>
      <c r="AD113" s="287">
        <f t="shared" si="1"/>
        <v>12</v>
      </c>
    </row>
    <row r="114" spans="2:30" x14ac:dyDescent="0.25">
      <c r="B114" s="109" t="s">
        <v>35</v>
      </c>
      <c r="E114" s="109" t="s">
        <v>35</v>
      </c>
      <c r="F114" s="109" t="s">
        <v>35</v>
      </c>
      <c r="H114" s="109" t="s">
        <v>35</v>
      </c>
      <c r="K114" s="136" t="s">
        <v>35</v>
      </c>
      <c r="L114" s="136" t="s">
        <v>35</v>
      </c>
      <c r="N114" s="265" t="s">
        <v>203</v>
      </c>
      <c r="Q114" s="281" t="s">
        <v>20</v>
      </c>
      <c r="R114" s="282"/>
      <c r="Z114" s="283" t="str">
        <f t="shared" si="0"/>
        <v>Poultry Farm</v>
      </c>
      <c r="AA114" s="284"/>
      <c r="AB114" s="285"/>
      <c r="AC114" s="286" t="str">
        <f t="shared" si="1"/>
        <v>FPA</v>
      </c>
      <c r="AD114" s="287">
        <f t="shared" si="1"/>
        <v>0</v>
      </c>
    </row>
    <row r="115" spans="2:30" x14ac:dyDescent="0.25">
      <c r="B115" s="109" t="s">
        <v>35</v>
      </c>
      <c r="E115" s="109" t="s">
        <v>35</v>
      </c>
      <c r="F115" s="109" t="s">
        <v>35</v>
      </c>
      <c r="H115" s="109" t="s">
        <v>35</v>
      </c>
      <c r="K115" s="136" t="s">
        <v>35</v>
      </c>
      <c r="L115" s="136" t="s">
        <v>35</v>
      </c>
      <c r="N115" s="265" t="s">
        <v>204</v>
      </c>
      <c r="Q115" s="281" t="s">
        <v>479</v>
      </c>
      <c r="R115" s="282">
        <v>6</v>
      </c>
      <c r="W115" s="136"/>
      <c r="Z115" s="283" t="str">
        <f t="shared" si="0"/>
        <v>Vehicle Showroom</v>
      </c>
      <c r="AA115" s="284"/>
      <c r="AB115" s="285"/>
      <c r="AC115" s="286" t="str">
        <f t="shared" si="1"/>
        <v>100m² roofed floor area</v>
      </c>
      <c r="AD115" s="287">
        <f t="shared" si="1"/>
        <v>6</v>
      </c>
    </row>
    <row r="116" spans="2:30" x14ac:dyDescent="0.25">
      <c r="B116" s="109" t="s">
        <v>35</v>
      </c>
      <c r="E116" s="109" t="s">
        <v>35</v>
      </c>
      <c r="F116" s="109" t="s">
        <v>35</v>
      </c>
      <c r="N116" s="265" t="s">
        <v>205</v>
      </c>
      <c r="Q116" s="281" t="s">
        <v>479</v>
      </c>
      <c r="R116" s="282">
        <v>12</v>
      </c>
      <c r="W116" s="136"/>
      <c r="Z116" s="283" t="str">
        <f t="shared" si="0"/>
        <v>Veterinary Clinic</v>
      </c>
      <c r="AA116" s="284"/>
      <c r="AB116" s="285"/>
      <c r="AC116" s="286" t="str">
        <f t="shared" si="1"/>
        <v>100m² roofed floor area</v>
      </c>
      <c r="AD116" s="287">
        <f t="shared" si="1"/>
        <v>12</v>
      </c>
    </row>
    <row r="117" spans="2:30" x14ac:dyDescent="0.25">
      <c r="B117" s="109" t="s">
        <v>35</v>
      </c>
      <c r="E117" s="109" t="s">
        <v>35</v>
      </c>
      <c r="F117" s="109" t="s">
        <v>35</v>
      </c>
      <c r="N117" s="265" t="s">
        <v>206</v>
      </c>
      <c r="Q117" s="281" t="s">
        <v>479</v>
      </c>
      <c r="R117" s="282">
        <v>12</v>
      </c>
      <c r="W117" s="136"/>
      <c r="Z117" s="283" t="str">
        <f t="shared" si="0"/>
        <v>Veterinary Hospital</v>
      </c>
      <c r="AA117" s="284"/>
      <c r="AB117" s="285"/>
      <c r="AC117" s="286" t="str">
        <f t="shared" si="1"/>
        <v>100m² roofed floor area</v>
      </c>
      <c r="AD117" s="287">
        <f t="shared" si="1"/>
        <v>12</v>
      </c>
    </row>
    <row r="118" spans="2:30" x14ac:dyDescent="0.25">
      <c r="B118" s="109" t="s">
        <v>35</v>
      </c>
      <c r="E118" s="109" t="s">
        <v>35</v>
      </c>
      <c r="F118" s="109" t="s">
        <v>35</v>
      </c>
      <c r="N118" s="265" t="s">
        <v>207</v>
      </c>
      <c r="Q118" s="281" t="s">
        <v>169</v>
      </c>
      <c r="R118" s="282">
        <v>12</v>
      </c>
      <c r="W118" s="136"/>
      <c r="Z118" s="283" t="str">
        <f t="shared" si="0"/>
        <v>Warehouse &lt; 150m² roofed floor area</v>
      </c>
      <c r="AA118" s="284"/>
      <c r="AB118" s="285"/>
      <c r="AC118" s="286" t="str">
        <f t="shared" si="1"/>
        <v>store</v>
      </c>
      <c r="AD118" s="287">
        <f t="shared" si="1"/>
        <v>12</v>
      </c>
    </row>
    <row r="119" spans="2:30" x14ac:dyDescent="0.25">
      <c r="B119" s="109" t="s">
        <v>35</v>
      </c>
      <c r="E119" s="109" t="s">
        <v>35</v>
      </c>
      <c r="F119" s="109" t="s">
        <v>35</v>
      </c>
      <c r="N119" s="265" t="s">
        <v>208</v>
      </c>
      <c r="Q119" s="281" t="s">
        <v>169</v>
      </c>
      <c r="R119" s="282">
        <v>18</v>
      </c>
      <c r="W119" s="136"/>
      <c r="Z119" s="283" t="str">
        <f t="shared" si="0"/>
        <v>Warehouse (150m² - 300m² roofed floor area)</v>
      </c>
      <c r="AA119" s="284"/>
      <c r="AB119" s="285"/>
      <c r="AC119" s="286" t="str">
        <f t="shared" si="1"/>
        <v>store</v>
      </c>
      <c r="AD119" s="287">
        <f t="shared" si="1"/>
        <v>18</v>
      </c>
    </row>
    <row r="120" spans="2:30" x14ac:dyDescent="0.25">
      <c r="B120" s="109" t="s">
        <v>35</v>
      </c>
      <c r="E120" s="109" t="s">
        <v>35</v>
      </c>
      <c r="F120" s="109" t="s">
        <v>35</v>
      </c>
      <c r="N120" s="267" t="s">
        <v>209</v>
      </c>
      <c r="O120" s="268"/>
      <c r="P120" s="268"/>
      <c r="Q120" s="288" t="s">
        <v>480</v>
      </c>
      <c r="R120" s="289" t="s">
        <v>481</v>
      </c>
      <c r="W120" s="136"/>
      <c r="Z120" s="290" t="str">
        <f t="shared" si="0"/>
        <v>Warehouse &gt; 300m² roofed floor area</v>
      </c>
      <c r="AA120" s="291"/>
      <c r="AB120" s="292"/>
      <c r="AC120" s="286" t="str">
        <f t="shared" si="1"/>
        <v xml:space="preserve">roofed floor area (m²) </v>
      </c>
      <c r="AD120" s="287" t="str">
        <f t="shared" si="1"/>
        <v>18 + 1.5/150m²</v>
      </c>
    </row>
    <row r="121" spans="2:30" x14ac:dyDescent="0.25">
      <c r="B121" s="109" t="s">
        <v>35</v>
      </c>
      <c r="E121" s="109" t="s">
        <v>35</v>
      </c>
      <c r="F121" s="109" t="s">
        <v>35</v>
      </c>
      <c r="W121" s="136"/>
    </row>
    <row r="122" spans="2:30" x14ac:dyDescent="0.25">
      <c r="B122" s="109" t="s">
        <v>35</v>
      </c>
      <c r="E122" s="109" t="s">
        <v>35</v>
      </c>
      <c r="F122" s="109" t="s">
        <v>35</v>
      </c>
      <c r="W122" s="136"/>
    </row>
    <row r="123" spans="2:30" x14ac:dyDescent="0.25">
      <c r="B123" s="109" t="s">
        <v>35</v>
      </c>
      <c r="E123" s="109" t="s">
        <v>35</v>
      </c>
      <c r="F123" s="109" t="s">
        <v>35</v>
      </c>
      <c r="W123" s="136"/>
    </row>
    <row r="124" spans="2:30" x14ac:dyDescent="0.25">
      <c r="B124" s="109" t="s">
        <v>35</v>
      </c>
      <c r="E124" s="109" t="s">
        <v>35</v>
      </c>
      <c r="F124" s="109" t="s">
        <v>35</v>
      </c>
    </row>
    <row r="125" spans="2:30" x14ac:dyDescent="0.25">
      <c r="B125" s="109" t="s">
        <v>35</v>
      </c>
      <c r="E125" s="109" t="s">
        <v>35</v>
      </c>
      <c r="F125" s="109" t="s">
        <v>35</v>
      </c>
    </row>
    <row r="126" spans="2:30" x14ac:dyDescent="0.25">
      <c r="B126" s="109" t="s">
        <v>35</v>
      </c>
      <c r="E126" s="109" t="s">
        <v>35</v>
      </c>
      <c r="F126" s="109" t="s">
        <v>35</v>
      </c>
    </row>
    <row r="127" spans="2:30" x14ac:dyDescent="0.25">
      <c r="B127" s="109" t="s">
        <v>35</v>
      </c>
      <c r="E127" s="109" t="s">
        <v>35</v>
      </c>
      <c r="F127" s="109" t="s">
        <v>35</v>
      </c>
    </row>
    <row r="128" spans="2:30" x14ac:dyDescent="0.25">
      <c r="B128" s="109" t="s">
        <v>35</v>
      </c>
      <c r="E128" s="109" t="s">
        <v>35</v>
      </c>
      <c r="F128" s="109" t="s">
        <v>35</v>
      </c>
    </row>
    <row r="129" spans="2:10" x14ac:dyDescent="0.25">
      <c r="B129" s="109" t="s">
        <v>35</v>
      </c>
      <c r="E129" s="109" t="s">
        <v>35</v>
      </c>
      <c r="F129" s="109" t="s">
        <v>35</v>
      </c>
    </row>
    <row r="130" spans="2:10" x14ac:dyDescent="0.25">
      <c r="B130" s="109" t="s">
        <v>35</v>
      </c>
      <c r="E130" s="109" t="s">
        <v>35</v>
      </c>
      <c r="F130" s="109" t="s">
        <v>35</v>
      </c>
    </row>
    <row r="131" spans="2:10" x14ac:dyDescent="0.25">
      <c r="B131" s="109" t="s">
        <v>35</v>
      </c>
      <c r="E131" s="109" t="s">
        <v>35</v>
      </c>
      <c r="F131" s="109" t="s">
        <v>35</v>
      </c>
    </row>
    <row r="132" spans="2:10" x14ac:dyDescent="0.25">
      <c r="B132" s="109" t="s">
        <v>35</v>
      </c>
    </row>
    <row r="133" spans="2:10" x14ac:dyDescent="0.25">
      <c r="B133" s="109" t="s">
        <v>35</v>
      </c>
      <c r="G133" s="109" t="s">
        <v>35</v>
      </c>
      <c r="I133" s="109" t="s">
        <v>35</v>
      </c>
      <c r="J133" s="109" t="s">
        <v>35</v>
      </c>
    </row>
    <row r="134" spans="2:10" x14ac:dyDescent="0.25">
      <c r="B134" s="109" t="s">
        <v>35</v>
      </c>
    </row>
    <row r="135" spans="2:10" x14ac:dyDescent="0.25">
      <c r="B135" s="109" t="s">
        <v>35</v>
      </c>
    </row>
    <row r="136" spans="2:10" x14ac:dyDescent="0.25">
      <c r="B136" s="109" t="s">
        <v>35</v>
      </c>
    </row>
    <row r="137" spans="2:10" x14ac:dyDescent="0.25">
      <c r="B137" s="109" t="s">
        <v>35</v>
      </c>
    </row>
    <row r="138" spans="2:10" x14ac:dyDescent="0.25">
      <c r="B138" s="109" t="s">
        <v>35</v>
      </c>
    </row>
    <row r="139" spans="2:10" x14ac:dyDescent="0.25">
      <c r="B139" s="109" t="s">
        <v>35</v>
      </c>
    </row>
    <row r="140" spans="2:10" x14ac:dyDescent="0.25">
      <c r="B140" s="109" t="s">
        <v>35</v>
      </c>
    </row>
    <row r="141" spans="2:10" x14ac:dyDescent="0.25">
      <c r="B141" s="109" t="s">
        <v>35</v>
      </c>
    </row>
    <row r="142" spans="2:10" x14ac:dyDescent="0.25">
      <c r="B142" s="109" t="s">
        <v>35</v>
      </c>
    </row>
    <row r="143" spans="2:10" x14ac:dyDescent="0.25">
      <c r="B143" s="109" t="s">
        <v>35</v>
      </c>
    </row>
    <row r="144" spans="2:10" x14ac:dyDescent="0.25">
      <c r="B144" s="109" t="s">
        <v>35</v>
      </c>
    </row>
    <row r="145" spans="2:2" x14ac:dyDescent="0.25">
      <c r="B145" s="109" t="s">
        <v>35</v>
      </c>
    </row>
    <row r="146" spans="2:2" x14ac:dyDescent="0.25">
      <c r="B146" s="109" t="s">
        <v>35</v>
      </c>
    </row>
    <row r="147" spans="2:2" x14ac:dyDescent="0.25">
      <c r="B147" s="109" t="s">
        <v>35</v>
      </c>
    </row>
    <row r="148" spans="2:2" x14ac:dyDescent="0.25">
      <c r="B148" s="109" t="s">
        <v>35</v>
      </c>
    </row>
    <row r="149" spans="2:2" x14ac:dyDescent="0.25">
      <c r="B149" s="109" t="s">
        <v>35</v>
      </c>
    </row>
    <row r="150" spans="2:2" x14ac:dyDescent="0.25">
      <c r="B150" s="109" t="s">
        <v>35</v>
      </c>
    </row>
  </sheetData>
  <sheetProtection password="CDF4" sheet="1" objects="1" scenarios="1"/>
  <mergeCells count="60">
    <mergeCell ref="B24:F24"/>
    <mergeCell ref="L46:M46"/>
    <mergeCell ref="B28:D28"/>
    <mergeCell ref="E28:G28"/>
    <mergeCell ref="H28:H29"/>
    <mergeCell ref="B36:D36"/>
    <mergeCell ref="E36:G36"/>
    <mergeCell ref="H36:H37"/>
    <mergeCell ref="B45:B46"/>
    <mergeCell ref="C45:G46"/>
    <mergeCell ref="H45:M45"/>
    <mergeCell ref="H46:I46"/>
    <mergeCell ref="J46:K46"/>
    <mergeCell ref="H22:H23"/>
    <mergeCell ref="B23:F23"/>
    <mergeCell ref="F18:G18"/>
    <mergeCell ref="B8:C10"/>
    <mergeCell ref="F15:G15"/>
    <mergeCell ref="L6:M6"/>
    <mergeCell ref="C48:G48"/>
    <mergeCell ref="H48:I48"/>
    <mergeCell ref="J48:K48"/>
    <mergeCell ref="L48:M48"/>
    <mergeCell ref="C47:G47"/>
    <mergeCell ref="H47:I47"/>
    <mergeCell ref="J47:K47"/>
    <mergeCell ref="L47:M47"/>
    <mergeCell ref="B6:C7"/>
    <mergeCell ref="B22:G22"/>
    <mergeCell ref="D6:G7"/>
    <mergeCell ref="F16:G16"/>
    <mergeCell ref="F17:G17"/>
    <mergeCell ref="K6:K7"/>
    <mergeCell ref="H6:J6"/>
    <mergeCell ref="H50:I50"/>
    <mergeCell ref="J50:K50"/>
    <mergeCell ref="L50:M50"/>
    <mergeCell ref="B53:F54"/>
    <mergeCell ref="C49:G49"/>
    <mergeCell ref="H49:I49"/>
    <mergeCell ref="J49:K49"/>
    <mergeCell ref="L49:M49"/>
    <mergeCell ref="B59:C60"/>
    <mergeCell ref="D59:F60"/>
    <mergeCell ref="G59:G60"/>
    <mergeCell ref="B66:E66"/>
    <mergeCell ref="B55:C56"/>
    <mergeCell ref="D55:F56"/>
    <mergeCell ref="G55:G56"/>
    <mergeCell ref="B57:C58"/>
    <mergeCell ref="D57:F58"/>
    <mergeCell ref="G57:G58"/>
    <mergeCell ref="B73:D73"/>
    <mergeCell ref="H73:J73"/>
    <mergeCell ref="N73:P73"/>
    <mergeCell ref="Z73:AB73"/>
    <mergeCell ref="B72:F72"/>
    <mergeCell ref="H72:L72"/>
    <mergeCell ref="N72:R72"/>
    <mergeCell ref="Z72:AD72"/>
  </mergeCells>
  <phoneticPr fontId="4" type="noConversion"/>
  <pageMargins left="0.42" right="0.14000000000000001" top="1" bottom="1" header="0.5" footer="0.5"/>
  <pageSetup paperSize="9" scale="79" orientation="portrait" blackAndWhite="1" horizontalDpi="4294967293" r:id="rId1"/>
  <headerFooter alignWithMargins="0"/>
  <ignoredErrors>
    <ignoredError sqref="A3 A5 A13 A21 A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98" r:id="rId4" name="Drop Down 30">
              <controlPr locked="0" defaultSize="0" autoLine="0" autoPict="0">
                <anchor moveWithCells="1">
                  <from>
                    <xdr:col>1</xdr:col>
                    <xdr:colOff>22860</xdr:colOff>
                    <xdr:row>15</xdr:row>
                    <xdr:rowOff>38100</xdr:rowOff>
                  </from>
                  <to>
                    <xdr:col>5</xdr:col>
                    <xdr:colOff>30480</xdr:colOff>
                    <xdr:row>16</xdr:row>
                    <xdr:rowOff>45720</xdr:rowOff>
                  </to>
                </anchor>
              </controlPr>
            </control>
          </mc:Choice>
        </mc:AlternateContent>
        <mc:AlternateContent xmlns:mc="http://schemas.openxmlformats.org/markup-compatibility/2006">
          <mc:Choice Requires="x14">
            <control shapeId="7199" r:id="rId5" name="Drop Down 31">
              <controlPr locked="0" defaultSize="0" autoLine="0" autoPict="0">
                <anchor moveWithCells="1">
                  <from>
                    <xdr:col>1</xdr:col>
                    <xdr:colOff>22860</xdr:colOff>
                    <xdr:row>16</xdr:row>
                    <xdr:rowOff>45720</xdr:rowOff>
                  </from>
                  <to>
                    <xdr:col>5</xdr:col>
                    <xdr:colOff>30480</xdr:colOff>
                    <xdr:row>17</xdr:row>
                    <xdr:rowOff>45720</xdr:rowOff>
                  </to>
                </anchor>
              </controlPr>
            </control>
          </mc:Choice>
        </mc:AlternateContent>
        <mc:AlternateContent xmlns:mc="http://schemas.openxmlformats.org/markup-compatibility/2006">
          <mc:Choice Requires="x14">
            <control shapeId="7200" r:id="rId6" name="Drop Down 32">
              <controlPr defaultSize="0" autoLine="0" autoPict="0">
                <anchor moveWithCells="1">
                  <from>
                    <xdr:col>1</xdr:col>
                    <xdr:colOff>22860</xdr:colOff>
                    <xdr:row>17</xdr:row>
                    <xdr:rowOff>7620</xdr:rowOff>
                  </from>
                  <to>
                    <xdr:col>5</xdr:col>
                    <xdr:colOff>30480</xdr:colOff>
                    <xdr:row>18</xdr:row>
                    <xdr:rowOff>22860</xdr:rowOff>
                  </to>
                </anchor>
              </controlPr>
            </control>
          </mc:Choice>
        </mc:AlternateContent>
        <mc:AlternateContent xmlns:mc="http://schemas.openxmlformats.org/markup-compatibility/2006">
          <mc:Choice Requires="x14">
            <control shapeId="7201" r:id="rId7" name="Drop Down 33">
              <controlPr locked="0" defaultSize="0" autoLine="0" autoPict="0">
                <anchor moveWithCells="1">
                  <from>
                    <xdr:col>2</xdr:col>
                    <xdr:colOff>807720</xdr:colOff>
                    <xdr:row>2</xdr:row>
                    <xdr:rowOff>7620</xdr:rowOff>
                  </from>
                  <to>
                    <xdr:col>7</xdr:col>
                    <xdr:colOff>403860</xdr:colOff>
                    <xdr:row>3</xdr:row>
                    <xdr:rowOff>76200</xdr:rowOff>
                  </to>
                </anchor>
              </controlPr>
            </control>
          </mc:Choice>
        </mc:AlternateContent>
        <mc:AlternateContent xmlns:mc="http://schemas.openxmlformats.org/markup-compatibility/2006">
          <mc:Choice Requires="x14">
            <control shapeId="7221" r:id="rId8" name="Drop Down 53">
              <controlPr defaultSize="0" autoLine="0" autoPict="0">
                <anchor moveWithCells="1">
                  <from>
                    <xdr:col>1</xdr:col>
                    <xdr:colOff>22860</xdr:colOff>
                    <xdr:row>14</xdr:row>
                    <xdr:rowOff>7620</xdr:rowOff>
                  </from>
                  <to>
                    <xdr:col>5</xdr:col>
                    <xdr:colOff>30480</xdr:colOff>
                    <xdr:row>15</xdr:row>
                    <xdr:rowOff>30480</xdr:rowOff>
                  </to>
                </anchor>
              </controlPr>
            </control>
          </mc:Choice>
        </mc:AlternateContent>
        <mc:AlternateContent xmlns:mc="http://schemas.openxmlformats.org/markup-compatibility/2006">
          <mc:Choice Requires="x14">
            <control shapeId="7222" r:id="rId9" name="Drop Down 54">
              <controlPr defaultSize="0" autoLine="0" autoPict="0">
                <anchor moveWithCells="1">
                  <from>
                    <xdr:col>1</xdr:col>
                    <xdr:colOff>22860</xdr:colOff>
                    <xdr:row>15</xdr:row>
                    <xdr:rowOff>22860</xdr:rowOff>
                  </from>
                  <to>
                    <xdr:col>5</xdr:col>
                    <xdr:colOff>30480</xdr:colOff>
                    <xdr:row>16</xdr:row>
                    <xdr:rowOff>22860</xdr:rowOff>
                  </to>
                </anchor>
              </controlPr>
            </control>
          </mc:Choice>
        </mc:AlternateContent>
        <mc:AlternateContent xmlns:mc="http://schemas.openxmlformats.org/markup-compatibility/2006">
          <mc:Choice Requires="x14">
            <control shapeId="7223" r:id="rId10" name="Drop Down 55">
              <controlPr defaultSize="0" autoLine="0" autoPict="0">
                <anchor moveWithCells="1">
                  <from>
                    <xdr:col>1</xdr:col>
                    <xdr:colOff>22860</xdr:colOff>
                    <xdr:row>16</xdr:row>
                    <xdr:rowOff>7620</xdr:rowOff>
                  </from>
                  <to>
                    <xdr:col>5</xdr:col>
                    <xdr:colOff>30480</xdr:colOff>
                    <xdr:row>17</xdr:row>
                    <xdr:rowOff>7620</xdr:rowOff>
                  </to>
                </anchor>
              </controlPr>
            </control>
          </mc:Choice>
        </mc:AlternateContent>
        <mc:AlternateContent xmlns:mc="http://schemas.openxmlformats.org/markup-compatibility/2006">
          <mc:Choice Requires="x14">
            <control shapeId="7224" r:id="rId11" name="Drop Down 56">
              <controlPr defaultSize="0" autoLine="0" autoPict="0">
                <anchor moveWithCells="1">
                  <from>
                    <xdr:col>2</xdr:col>
                    <xdr:colOff>807720</xdr:colOff>
                    <xdr:row>2</xdr:row>
                    <xdr:rowOff>7620</xdr:rowOff>
                  </from>
                  <to>
                    <xdr:col>7</xdr:col>
                    <xdr:colOff>403860</xdr:colOff>
                    <xdr:row>3</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Z64"/>
  <sheetViews>
    <sheetView showGridLines="0" zoomScale="75" workbookViewId="0">
      <selection activeCell="D4" sqref="D4:E4"/>
    </sheetView>
  </sheetViews>
  <sheetFormatPr defaultColWidth="9.109375" defaultRowHeight="13.2" x14ac:dyDescent="0.25"/>
  <cols>
    <col min="1" max="1" width="4.88671875" style="109" customWidth="1"/>
    <col min="2" max="2" width="9.109375" style="109"/>
    <col min="3" max="3" width="12.5546875" style="109" customWidth="1"/>
    <col min="4" max="4" width="11" style="109" customWidth="1"/>
    <col min="5" max="5" width="11.5546875" style="109" customWidth="1"/>
    <col min="6" max="25" width="9.109375" style="109"/>
    <col min="26" max="26" width="0" style="109" hidden="1" customWidth="1"/>
    <col min="27" max="16384" width="9.109375" style="109"/>
  </cols>
  <sheetData>
    <row r="1" spans="1:26" ht="15.6" x14ac:dyDescent="0.3">
      <c r="A1" s="206" t="s">
        <v>255</v>
      </c>
      <c r="L1" s="207" t="s">
        <v>612</v>
      </c>
    </row>
    <row r="2" spans="1:26" ht="62.25" customHeight="1" x14ac:dyDescent="0.3">
      <c r="A2" s="206"/>
      <c r="L2" s="208"/>
    </row>
    <row r="3" spans="1:26" ht="15.6" x14ac:dyDescent="0.3">
      <c r="A3" s="206"/>
      <c r="L3" s="208"/>
    </row>
    <row r="4" spans="1:26" x14ac:dyDescent="0.25">
      <c r="A4" s="378" t="s">
        <v>44</v>
      </c>
      <c r="B4" s="379" t="s">
        <v>30</v>
      </c>
      <c r="C4" s="379"/>
      <c r="D4" s="543"/>
      <c r="E4" s="544"/>
      <c r="L4" s="208"/>
    </row>
    <row r="5" spans="1:26" ht="15.6" x14ac:dyDescent="0.3">
      <c r="A5" s="206"/>
      <c r="L5" s="208"/>
    </row>
    <row r="6" spans="1:26" ht="13.5" customHeight="1" x14ac:dyDescent="0.25">
      <c r="A6" s="377" t="s">
        <v>37</v>
      </c>
      <c r="B6" s="137" t="s">
        <v>102</v>
      </c>
      <c r="E6" s="160"/>
      <c r="F6" s="109" t="s">
        <v>93</v>
      </c>
    </row>
    <row r="7" spans="1:26" ht="40.5" customHeight="1" x14ac:dyDescent="0.25">
      <c r="A7" s="377" t="s">
        <v>38</v>
      </c>
      <c r="B7" s="137" t="s">
        <v>90</v>
      </c>
      <c r="E7" s="138"/>
      <c r="Z7" s="138" t="b">
        <v>1</v>
      </c>
    </row>
    <row r="8" spans="1:26" x14ac:dyDescent="0.25">
      <c r="E8" s="138"/>
    </row>
    <row r="11" spans="1:26" x14ac:dyDescent="0.25">
      <c r="A11" s="135"/>
      <c r="B11" s="479" t="s">
        <v>28</v>
      </c>
      <c r="C11" s="480"/>
      <c r="D11" s="480"/>
      <c r="E11" s="481"/>
      <c r="F11" s="465" t="s">
        <v>41</v>
      </c>
      <c r="G11" s="466"/>
      <c r="H11" s="467"/>
      <c r="I11" s="505" t="s">
        <v>100</v>
      </c>
      <c r="J11" s="465" t="s">
        <v>101</v>
      </c>
      <c r="K11" s="467"/>
    </row>
    <row r="12" spans="1:26" x14ac:dyDescent="0.25">
      <c r="B12" s="482"/>
      <c r="C12" s="483"/>
      <c r="D12" s="483"/>
      <c r="E12" s="484"/>
      <c r="F12" s="63" t="s">
        <v>94</v>
      </c>
      <c r="G12" s="63" t="s">
        <v>29</v>
      </c>
      <c r="H12" s="63" t="str">
        <f>IF($Z$7=TRUE,"RBCI","No index")</f>
        <v>RBCI</v>
      </c>
      <c r="I12" s="506"/>
      <c r="J12" s="7" t="s">
        <v>46</v>
      </c>
      <c r="K12" s="7" t="s">
        <v>29</v>
      </c>
    </row>
    <row r="13" spans="1:26" ht="21" customHeight="1" x14ac:dyDescent="0.25">
      <c r="B13" s="12" t="s">
        <v>256</v>
      </c>
      <c r="C13" s="13"/>
      <c r="D13" s="13"/>
      <c r="E13" s="14"/>
      <c r="F13" s="9">
        <v>2200</v>
      </c>
      <c r="G13" s="62" t="s">
        <v>298</v>
      </c>
      <c r="H13" s="2">
        <f>IF($Z$7=TRUE,97.2,"")</f>
        <v>97.2</v>
      </c>
      <c r="I13" s="11">
        <f>IF($Z$7=TRUE,'June 2009 Summary'!$D$16/'Open Space'!$H$13,1)</f>
        <v>0.97942386831275718</v>
      </c>
      <c r="J13" s="9">
        <f>+F13*I13</f>
        <v>2154.7325102880659</v>
      </c>
      <c r="K13" s="60" t="str">
        <f>+'June 2009 Summary'!D14</f>
        <v>Jun '09</v>
      </c>
    </row>
    <row r="14" spans="1:26" x14ac:dyDescent="0.25">
      <c r="F14" s="210" t="str">
        <f>IF($Z$7=TRUE,"Note - RBCI applied given condition of approval","Note - Base Rate set per policy, as yet no indexation applies automatically")</f>
        <v>Note - RBCI applied given condition of approval</v>
      </c>
      <c r="G14" s="140"/>
      <c r="H14" s="140"/>
    </row>
    <row r="16" spans="1:26" x14ac:dyDescent="0.25">
      <c r="A16" s="377" t="s">
        <v>39</v>
      </c>
      <c r="B16" s="137" t="s">
        <v>273</v>
      </c>
    </row>
    <row r="17" spans="1:7" x14ac:dyDescent="0.25">
      <c r="B17" s="479" t="s">
        <v>262</v>
      </c>
      <c r="C17" s="480"/>
      <c r="D17" s="481"/>
      <c r="E17" s="25" t="s">
        <v>268</v>
      </c>
    </row>
    <row r="18" spans="1:7" x14ac:dyDescent="0.25">
      <c r="B18" s="482"/>
      <c r="C18" s="483"/>
      <c r="D18" s="484"/>
      <c r="E18" s="26" t="str">
        <f>+K13</f>
        <v>Jun '09</v>
      </c>
    </row>
    <row r="19" spans="1:7" ht="19.5" customHeight="1" x14ac:dyDescent="0.25">
      <c r="A19" s="135"/>
      <c r="B19" s="12" t="s">
        <v>255</v>
      </c>
      <c r="C19" s="13"/>
      <c r="D19" s="13"/>
      <c r="E19" s="27">
        <f>+IF(D4="Reconfiguration of Lot",E6*J13,0)</f>
        <v>0</v>
      </c>
      <c r="G19" s="137" t="str">
        <f>IF($D$4="Material Change of Use","Park contribution applies only to subdivision","")</f>
        <v/>
      </c>
    </row>
    <row r="20" spans="1:7" x14ac:dyDescent="0.25">
      <c r="E20" s="148"/>
    </row>
    <row r="60" spans="2:6" x14ac:dyDescent="0.25">
      <c r="B60" s="389" t="s">
        <v>42</v>
      </c>
      <c r="C60" s="389"/>
      <c r="D60" s="389"/>
      <c r="E60" s="389"/>
      <c r="F60" s="389"/>
    </row>
    <row r="61" spans="2:6" x14ac:dyDescent="0.25">
      <c r="B61" s="545" t="s">
        <v>30</v>
      </c>
      <c r="C61" s="546"/>
      <c r="D61" s="546"/>
      <c r="E61" s="546"/>
      <c r="F61" s="547"/>
    </row>
    <row r="62" spans="2:6" x14ac:dyDescent="0.25">
      <c r="B62" s="382"/>
      <c r="C62" s="380"/>
      <c r="D62" s="380"/>
      <c r="E62" s="380"/>
      <c r="F62" s="381"/>
    </row>
    <row r="63" spans="2:6" x14ac:dyDescent="0.25">
      <c r="B63" s="384" t="s">
        <v>358</v>
      </c>
      <c r="C63" s="385"/>
      <c r="D63" s="385"/>
      <c r="E63" s="385"/>
      <c r="F63" s="386"/>
    </row>
    <row r="64" spans="2:6" x14ac:dyDescent="0.25">
      <c r="B64" s="383" t="s">
        <v>259</v>
      </c>
      <c r="C64" s="387"/>
      <c r="D64" s="387"/>
      <c r="E64" s="387"/>
      <c r="F64" s="388"/>
    </row>
  </sheetData>
  <sheetProtection password="CDF4" sheet="1" objects="1" scenarios="1"/>
  <mergeCells count="7">
    <mergeCell ref="D4:E4"/>
    <mergeCell ref="B61:F61"/>
    <mergeCell ref="J11:K11"/>
    <mergeCell ref="B17:D18"/>
    <mergeCell ref="B11:E12"/>
    <mergeCell ref="I11:I12"/>
    <mergeCell ref="F11:H11"/>
  </mergeCells>
  <phoneticPr fontId="4" type="noConversion"/>
  <dataValidations count="1">
    <dataValidation type="list" allowBlank="1" showInputMessage="1" showErrorMessage="1" sqref="D4:E4" xr:uid="{00000000-0002-0000-0500-000000000000}">
      <formula1>$B$62:$B$64</formula1>
    </dataValidation>
  </dataValidations>
  <pageMargins left="0.75" right="0.75" top="1" bottom="1" header="0.5" footer="0.5"/>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moveWithCells="1" sizeWithCells="1">
                  <from>
                    <xdr:col>0</xdr:col>
                    <xdr:colOff>312420</xdr:colOff>
                    <xdr:row>7</xdr:row>
                    <xdr:rowOff>106680</xdr:rowOff>
                  </from>
                  <to>
                    <xdr:col>7</xdr:col>
                    <xdr:colOff>76200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S187"/>
  <sheetViews>
    <sheetView zoomScale="75" workbookViewId="0">
      <selection activeCell="H14" sqref="H14"/>
    </sheetView>
  </sheetViews>
  <sheetFormatPr defaultColWidth="9.109375" defaultRowHeight="13.2" x14ac:dyDescent="0.25"/>
  <cols>
    <col min="1" max="1" width="5.109375" style="109" customWidth="1"/>
    <col min="2" max="2" width="11.44140625" style="109" customWidth="1"/>
    <col min="3" max="3" width="11.33203125" style="109" bestFit="1" customWidth="1"/>
    <col min="4" max="4" width="9" style="109" customWidth="1"/>
    <col min="5" max="7" width="9.109375" style="109"/>
    <col min="8" max="8" width="11.5546875" style="109" customWidth="1"/>
    <col min="9" max="9" width="11.88671875" style="109" customWidth="1"/>
    <col min="10" max="13" width="9.109375" style="109"/>
    <col min="14" max="14" width="12.109375" style="109" customWidth="1"/>
    <col min="15" max="15" width="12" style="109" customWidth="1"/>
    <col min="16" max="16" width="11.88671875" style="109" customWidth="1"/>
    <col min="17" max="18" width="9.109375" style="109"/>
    <col min="19" max="19" width="0" style="109" hidden="1" customWidth="1"/>
    <col min="20" max="21" width="9.109375" style="109"/>
    <col min="22" max="22" width="12.109375" style="109" customWidth="1"/>
    <col min="23" max="23" width="16.44140625" style="109" customWidth="1"/>
    <col min="24" max="16384" width="9.109375" style="109"/>
  </cols>
  <sheetData>
    <row r="1" spans="1:19" ht="33.75" customHeight="1" x14ac:dyDescent="0.25">
      <c r="A1" s="553" t="s">
        <v>263</v>
      </c>
      <c r="B1" s="553"/>
      <c r="C1" s="553"/>
      <c r="D1" s="553"/>
      <c r="E1" s="553"/>
      <c r="F1" s="553"/>
      <c r="G1" s="553"/>
      <c r="H1" s="553"/>
      <c r="I1" s="553"/>
      <c r="J1" s="214"/>
      <c r="L1" s="135" t="s">
        <v>299</v>
      </c>
    </row>
    <row r="2" spans="1:19" ht="84.75" customHeight="1" x14ac:dyDescent="0.25">
      <c r="A2" s="213"/>
      <c r="B2" s="213"/>
      <c r="C2" s="213"/>
      <c r="D2" s="213"/>
      <c r="E2" s="213"/>
      <c r="F2" s="213"/>
      <c r="G2" s="213"/>
      <c r="H2" s="213"/>
      <c r="I2" s="213"/>
      <c r="J2" s="214"/>
    </row>
    <row r="3" spans="1:19" ht="15" customHeight="1" x14ac:dyDescent="0.25">
      <c r="A3" s="135" t="s">
        <v>44</v>
      </c>
      <c r="B3" s="137" t="s">
        <v>30</v>
      </c>
      <c r="C3" s="213"/>
      <c r="D3" s="213"/>
      <c r="E3" s="213"/>
      <c r="F3" s="213"/>
      <c r="G3" s="213"/>
      <c r="H3" s="213"/>
      <c r="S3" s="138">
        <v>1</v>
      </c>
    </row>
    <row r="4" spans="1:19" ht="15" customHeight="1" x14ac:dyDescent="0.25">
      <c r="A4" s="213"/>
      <c r="B4" s="137"/>
      <c r="C4" s="213"/>
      <c r="D4" s="213"/>
      <c r="E4" s="213"/>
      <c r="F4" s="213"/>
      <c r="G4" s="213"/>
      <c r="H4" s="213"/>
    </row>
    <row r="5" spans="1:19" ht="15" customHeight="1" x14ac:dyDescent="0.25">
      <c r="A5" s="213"/>
      <c r="B5" s="137"/>
      <c r="C5" s="213"/>
      <c r="D5" s="213"/>
      <c r="E5" s="213"/>
      <c r="F5" s="213"/>
      <c r="G5" s="213"/>
      <c r="H5" s="213"/>
    </row>
    <row r="6" spans="1:19" ht="15" customHeight="1" x14ac:dyDescent="0.25">
      <c r="A6" s="135" t="s">
        <v>37</v>
      </c>
      <c r="B6" s="137" t="s">
        <v>260</v>
      </c>
    </row>
    <row r="7" spans="1:19" ht="15" customHeight="1" x14ac:dyDescent="0.25">
      <c r="B7" s="479" t="s">
        <v>28</v>
      </c>
      <c r="C7" s="480"/>
      <c r="D7" s="480"/>
      <c r="E7" s="481"/>
      <c r="F7" s="465" t="s">
        <v>41</v>
      </c>
      <c r="G7" s="466"/>
      <c r="H7" s="554"/>
      <c r="I7" s="505" t="s">
        <v>100</v>
      </c>
      <c r="J7" s="465" t="s">
        <v>101</v>
      </c>
      <c r="K7" s="467"/>
    </row>
    <row r="8" spans="1:19" ht="15" customHeight="1" x14ac:dyDescent="0.25">
      <c r="B8" s="482"/>
      <c r="C8" s="483"/>
      <c r="D8" s="483"/>
      <c r="E8" s="484"/>
      <c r="F8" s="7" t="s">
        <v>267</v>
      </c>
      <c r="G8" s="7" t="s">
        <v>29</v>
      </c>
      <c r="H8" s="7" t="s">
        <v>287</v>
      </c>
      <c r="I8" s="506"/>
      <c r="J8" s="7" t="str">
        <f>+F8</f>
        <v>$/DU</v>
      </c>
      <c r="K8" s="7" t="s">
        <v>29</v>
      </c>
    </row>
    <row r="9" spans="1:19" ht="15" customHeight="1" x14ac:dyDescent="0.25">
      <c r="B9" s="12" t="s">
        <v>266</v>
      </c>
      <c r="C9" s="13"/>
      <c r="D9" s="13"/>
      <c r="E9" s="14"/>
      <c r="F9" s="9">
        <v>359</v>
      </c>
      <c r="G9" s="62" t="s">
        <v>294</v>
      </c>
      <c r="H9" s="56">
        <v>91.8</v>
      </c>
      <c r="I9" s="11">
        <f>+'June 2009 Summary'!$D$16/'Peds &amp; Bikes'!H9</f>
        <v>1.0370370370370372</v>
      </c>
      <c r="J9" s="9">
        <f>+F9*I9</f>
        <v>372.29629629629636</v>
      </c>
      <c r="K9" s="60" t="str">
        <f>+'June 2009 Summary'!D14</f>
        <v>Jun '09</v>
      </c>
      <c r="S9" s="138"/>
    </row>
    <row r="10" spans="1:19" ht="15" customHeight="1" x14ac:dyDescent="0.25">
      <c r="G10" s="140" t="s">
        <v>297</v>
      </c>
    </row>
    <row r="11" spans="1:19" ht="15" customHeight="1" x14ac:dyDescent="0.25">
      <c r="A11" s="213"/>
      <c r="B11" s="137"/>
      <c r="C11" s="213"/>
      <c r="D11" s="213"/>
      <c r="E11" s="213"/>
      <c r="F11" s="213"/>
      <c r="G11" s="213"/>
      <c r="H11" s="213"/>
      <c r="I11" s="213"/>
      <c r="J11" s="214"/>
    </row>
    <row r="12" spans="1:19" x14ac:dyDescent="0.25">
      <c r="A12" s="135" t="s">
        <v>38</v>
      </c>
      <c r="B12" s="137" t="s">
        <v>221</v>
      </c>
    </row>
    <row r="13" spans="1:19" x14ac:dyDescent="0.25">
      <c r="B13" s="3" t="s">
        <v>32</v>
      </c>
      <c r="C13" s="4"/>
      <c r="D13" s="4"/>
      <c r="E13" s="5"/>
      <c r="F13" s="3" t="s">
        <v>34</v>
      </c>
      <c r="G13" s="6"/>
      <c r="H13" s="7" t="s">
        <v>33</v>
      </c>
      <c r="I13" s="8" t="s">
        <v>265</v>
      </c>
      <c r="J13" s="7" t="s">
        <v>264</v>
      </c>
    </row>
    <row r="14" spans="1:19" ht="15" customHeight="1" x14ac:dyDescent="0.25">
      <c r="F14" s="502" t="str">
        <f>+IF(S14=1,"",IF($S$3=2,INDEX($G$73:$G$109,S14),INDEX($O$73:$O$109,S14)))</f>
        <v/>
      </c>
      <c r="G14" s="503"/>
      <c r="H14" s="160"/>
      <c r="I14" s="2" t="str">
        <f>+IF(OR(F14="FPA",F14="")," ",IF($S$3=2,INDEX($H$73:$H$109,S14),INDEX($P$73:$P$109,S14)))</f>
        <v xml:space="preserve"> </v>
      </c>
      <c r="J14" s="1" t="str">
        <f>+IF(I14=" ","",H14*I14)</f>
        <v/>
      </c>
      <c r="S14" s="138">
        <v>1</v>
      </c>
    </row>
    <row r="15" spans="1:19" ht="15" customHeight="1" x14ac:dyDescent="0.25">
      <c r="F15" s="502" t="str">
        <f>+IF(S15=1,"",IF($S$3=2,INDEX($G$73:$G$109,S15),INDEX($O$73:$O$109,S15)))</f>
        <v/>
      </c>
      <c r="G15" s="503"/>
      <c r="H15" s="160"/>
      <c r="I15" s="2" t="str">
        <f>+IF(OR(F15="FPA",F15="")," ",IF($S$3=2,INDEX($H$73:$H$109,S15),INDEX($P$73:$P$109,S15)))</f>
        <v xml:space="preserve"> </v>
      </c>
      <c r="J15" s="1" t="str">
        <f>+IF(I15=" ","",H15*I15)</f>
        <v/>
      </c>
      <c r="S15" s="138">
        <v>1</v>
      </c>
    </row>
    <row r="16" spans="1:19" ht="15" customHeight="1" x14ac:dyDescent="0.25">
      <c r="F16" s="502" t="str">
        <f>+IF(S16=1,"",IF($S$3=2,INDEX($G$73:$G$109,S16),INDEX($O$73:$O$109,S16)))</f>
        <v/>
      </c>
      <c r="G16" s="503"/>
      <c r="H16" s="160"/>
      <c r="I16" s="2" t="str">
        <f>+IF(OR(F16="FPA",F16="")," ",IF($S$3=2,INDEX($H$73:$H$109,S16),INDEX($P$73:$P$109,S16)))</f>
        <v xml:space="preserve"> </v>
      </c>
      <c r="J16" s="2" t="str">
        <f>+IF(I16=" ","",H16*I16)</f>
        <v/>
      </c>
      <c r="S16" s="138">
        <v>1</v>
      </c>
    </row>
    <row r="17" spans="1:19" ht="15" customHeight="1" x14ac:dyDescent="0.25">
      <c r="E17" s="141" t="str">
        <f>+IF(OR(F14="FPA",F15="FPA",F16="FPA")," Please summarise First Principles Assessment (FPA):","Do not use this line - First Principles Assessment only")</f>
        <v>Do not use this line - First Principles Assessment only</v>
      </c>
      <c r="F17" s="511"/>
      <c r="G17" s="512"/>
      <c r="H17" s="160"/>
      <c r="I17" s="88"/>
      <c r="J17" s="2">
        <f>+IF(I17=" ","",H17*I17)</f>
        <v>0</v>
      </c>
    </row>
    <row r="18" spans="1:19" x14ac:dyDescent="0.25">
      <c r="I18" s="143" t="s">
        <v>35</v>
      </c>
      <c r="J18" s="19">
        <f>SUM(J14:J17)</f>
        <v>0</v>
      </c>
    </row>
    <row r="20" spans="1:19" x14ac:dyDescent="0.25">
      <c r="A20" s="135" t="s">
        <v>39</v>
      </c>
      <c r="B20" s="137" t="s">
        <v>222</v>
      </c>
    </row>
    <row r="21" spans="1:19" x14ac:dyDescent="0.25">
      <c r="B21" s="3" t="s">
        <v>32</v>
      </c>
      <c r="C21" s="4"/>
      <c r="D21" s="4"/>
      <c r="E21" s="5"/>
      <c r="F21" s="3" t="s">
        <v>34</v>
      </c>
      <c r="G21" s="6"/>
      <c r="H21" s="7" t="s">
        <v>33</v>
      </c>
      <c r="I21" s="8" t="str">
        <f>+I13</f>
        <v>DU/unit</v>
      </c>
      <c r="J21" s="8" t="str">
        <f>+J13</f>
        <v>DU's</v>
      </c>
    </row>
    <row r="22" spans="1:19" ht="15" customHeight="1" x14ac:dyDescent="0.25">
      <c r="F22" s="548" t="str">
        <f>+IF(S22=1,"",IF($S$3=2,INDEX($G$73:$G$109,S22),INDEX($O$73:$O$109,S22)))</f>
        <v/>
      </c>
      <c r="G22" s="549"/>
      <c r="H22" s="160"/>
      <c r="I22" s="215" t="str">
        <f>+IF(OR(F22="FPA",F22="")," ",IF($S$3=2,INDEX($H$73:$H$109,S22),INDEX($P$73:$P$109,S22)))</f>
        <v xml:space="preserve"> </v>
      </c>
      <c r="J22" s="216" t="str">
        <f>+IF(I22=" ","",H22*I22)</f>
        <v/>
      </c>
      <c r="S22" s="138">
        <v>1</v>
      </c>
    </row>
    <row r="23" spans="1:19" ht="15" customHeight="1" x14ac:dyDescent="0.25">
      <c r="F23" s="548" t="str">
        <f>+IF(S23=1,"",IF($S$3=2,INDEX($G$73:$G$109,S23),INDEX($O$73:$O$109,S23)))</f>
        <v/>
      </c>
      <c r="G23" s="549"/>
      <c r="H23" s="160"/>
      <c r="I23" s="215" t="str">
        <f>+IF(OR(F23="FPA",F23="")," ",IF($S$3=2,INDEX($H$73:$H$109,S23),INDEX($P$73:$P$109,S23)))</f>
        <v xml:space="preserve"> </v>
      </c>
      <c r="J23" s="216" t="str">
        <f>+IF(I23=" ","",H23*I23)</f>
        <v/>
      </c>
      <c r="S23" s="138">
        <v>1</v>
      </c>
    </row>
    <row r="24" spans="1:19" ht="15" customHeight="1" x14ac:dyDescent="0.25">
      <c r="F24" s="548" t="str">
        <f>+IF(S24=1,"",IF($S$3=2,INDEX($G$73:$G$109,S24),INDEX($O$73:$O$109,S24)))</f>
        <v/>
      </c>
      <c r="G24" s="549"/>
      <c r="H24" s="160"/>
      <c r="I24" s="215" t="str">
        <f>+IF(OR(F24="FPA",F24="")," ",IF($S$3=2,INDEX($H$73:$H$109,S24),INDEX($P$73:$P$109,S24)))</f>
        <v xml:space="preserve"> </v>
      </c>
      <c r="J24" s="215" t="str">
        <f>+IF(I24=" ","",H24*I24)</f>
        <v/>
      </c>
      <c r="S24" s="138">
        <v>1</v>
      </c>
    </row>
    <row r="25" spans="1:19" ht="15" customHeight="1" x14ac:dyDescent="0.25">
      <c r="E25" s="141" t="str">
        <f>+IF(OR(F22="FPA",F23="FPA",F24="FPA")," Please summarise First Principles Assessment (FPA):","Do not use this line - First Principles Assessment only:")</f>
        <v>Do not use this line - First Principles Assessment only:</v>
      </c>
      <c r="F25" s="511"/>
      <c r="G25" s="512"/>
      <c r="H25" s="160"/>
      <c r="I25" s="88"/>
      <c r="J25" s="2">
        <f>+IF(I25=" ","",H25*I25)</f>
        <v>0</v>
      </c>
    </row>
    <row r="26" spans="1:19" x14ac:dyDescent="0.25">
      <c r="I26" s="143" t="s">
        <v>36</v>
      </c>
      <c r="J26" s="19">
        <f>SUM(J22:J25)</f>
        <v>0</v>
      </c>
    </row>
    <row r="28" spans="1:19" x14ac:dyDescent="0.25">
      <c r="A28" s="135" t="s">
        <v>40</v>
      </c>
      <c r="B28" s="137" t="s">
        <v>275</v>
      </c>
    </row>
    <row r="29" spans="1:19" x14ac:dyDescent="0.25">
      <c r="B29" s="479" t="s">
        <v>262</v>
      </c>
      <c r="C29" s="480"/>
      <c r="D29" s="480"/>
      <c r="E29" s="480"/>
      <c r="F29" s="481"/>
      <c r="G29" s="25" t="s">
        <v>268</v>
      </c>
    </row>
    <row r="30" spans="1:19" x14ac:dyDescent="0.25">
      <c r="B30" s="482"/>
      <c r="C30" s="483"/>
      <c r="D30" s="483"/>
      <c r="E30" s="483"/>
      <c r="F30" s="484"/>
      <c r="G30" s="26" t="str">
        <f>+K9</f>
        <v>Jun '09</v>
      </c>
    </row>
    <row r="31" spans="1:19" ht="18.75" customHeight="1" x14ac:dyDescent="0.25">
      <c r="B31" s="12" t="s">
        <v>276</v>
      </c>
      <c r="C31" s="13"/>
      <c r="D31" s="13"/>
      <c r="E31" s="28" t="s">
        <v>277</v>
      </c>
      <c r="F31" s="14"/>
      <c r="G31" s="27">
        <f>+IF(J18&gt;J26,(J18-J26)*J9,0)</f>
        <v>0</v>
      </c>
      <c r="H31" s="150" t="str">
        <f>+IF(J26&gt;J18,"No credit in excess of the demand is given","")</f>
        <v/>
      </c>
    </row>
    <row r="32" spans="1:19" x14ac:dyDescent="0.25">
      <c r="A32" s="135"/>
      <c r="B32" s="135"/>
      <c r="C32" s="150"/>
    </row>
    <row r="33" spans="1:3" x14ac:dyDescent="0.25">
      <c r="A33" s="135"/>
      <c r="B33" s="135"/>
      <c r="C33" s="150"/>
    </row>
    <row r="34" spans="1:3" x14ac:dyDescent="0.25">
      <c r="A34" s="135"/>
      <c r="B34" s="135"/>
      <c r="C34" s="150"/>
    </row>
    <row r="35" spans="1:3" x14ac:dyDescent="0.25">
      <c r="A35" s="135"/>
      <c r="B35" s="135"/>
      <c r="C35" s="150"/>
    </row>
    <row r="36" spans="1:3" x14ac:dyDescent="0.25">
      <c r="A36" s="135"/>
      <c r="B36" s="135"/>
      <c r="C36" s="150"/>
    </row>
    <row r="37" spans="1:3" x14ac:dyDescent="0.25">
      <c r="A37" s="135"/>
      <c r="B37" s="135"/>
      <c r="C37" s="150"/>
    </row>
    <row r="38" spans="1:3" x14ac:dyDescent="0.25">
      <c r="A38" s="135"/>
      <c r="B38" s="135"/>
      <c r="C38" s="150"/>
    </row>
    <row r="39" spans="1:3" x14ac:dyDescent="0.25">
      <c r="A39" s="135"/>
      <c r="B39" s="135"/>
      <c r="C39" s="150"/>
    </row>
    <row r="40" spans="1:3" x14ac:dyDescent="0.25">
      <c r="A40" s="135"/>
      <c r="B40" s="135"/>
      <c r="C40" s="150"/>
    </row>
    <row r="41" spans="1:3" x14ac:dyDescent="0.25">
      <c r="A41" s="135"/>
      <c r="B41" s="135"/>
      <c r="C41" s="150"/>
    </row>
    <row r="42" spans="1:3" x14ac:dyDescent="0.25">
      <c r="A42" s="135"/>
      <c r="B42" s="135"/>
      <c r="C42" s="150"/>
    </row>
    <row r="43" spans="1:3" x14ac:dyDescent="0.25">
      <c r="A43" s="135"/>
      <c r="B43" s="135"/>
      <c r="C43" s="150"/>
    </row>
    <row r="44" spans="1:3" x14ac:dyDescent="0.25">
      <c r="A44" s="135"/>
      <c r="B44" s="135"/>
      <c r="C44" s="150"/>
    </row>
    <row r="45" spans="1:3" x14ac:dyDescent="0.25">
      <c r="A45" s="135"/>
      <c r="B45" s="135"/>
      <c r="C45" s="150"/>
    </row>
    <row r="46" spans="1:3" x14ac:dyDescent="0.25">
      <c r="A46" s="135"/>
      <c r="B46" s="135"/>
      <c r="C46" s="150"/>
    </row>
    <row r="47" spans="1:3" x14ac:dyDescent="0.25">
      <c r="A47" s="135"/>
      <c r="B47" s="135"/>
      <c r="C47" s="150"/>
    </row>
    <row r="48" spans="1:3" x14ac:dyDescent="0.25">
      <c r="A48" s="135"/>
      <c r="B48" s="135"/>
      <c r="C48" s="150"/>
    </row>
    <row r="49" spans="1:5" x14ac:dyDescent="0.25">
      <c r="A49" s="135"/>
      <c r="B49" s="135"/>
      <c r="C49" s="150"/>
    </row>
    <row r="50" spans="1:5" x14ac:dyDescent="0.25">
      <c r="A50" s="135"/>
      <c r="B50" s="135"/>
      <c r="C50" s="150"/>
    </row>
    <row r="51" spans="1:5" x14ac:dyDescent="0.25">
      <c r="A51" s="135"/>
      <c r="B51" s="135"/>
      <c r="C51" s="150"/>
    </row>
    <row r="52" spans="1:5" x14ac:dyDescent="0.25">
      <c r="A52" s="135"/>
      <c r="B52" s="135"/>
      <c r="C52" s="150"/>
    </row>
    <row r="53" spans="1:5" x14ac:dyDescent="0.25">
      <c r="A53" s="135"/>
      <c r="B53" s="135"/>
      <c r="C53" s="150"/>
    </row>
    <row r="54" spans="1:5" x14ac:dyDescent="0.25">
      <c r="A54" s="135"/>
      <c r="B54" s="135"/>
      <c r="C54" s="150"/>
    </row>
    <row r="55" spans="1:5" x14ac:dyDescent="0.25">
      <c r="A55" s="135"/>
      <c r="B55" s="135"/>
      <c r="C55" s="150"/>
    </row>
    <row r="60" spans="1:5" x14ac:dyDescent="0.25">
      <c r="B60" s="158" t="s">
        <v>42</v>
      </c>
    </row>
    <row r="62" spans="1:5" x14ac:dyDescent="0.25">
      <c r="B62" s="462" t="s">
        <v>30</v>
      </c>
      <c r="C62" s="463"/>
      <c r="D62" s="463"/>
      <c r="E62" s="464"/>
    </row>
    <row r="63" spans="1:5" x14ac:dyDescent="0.25">
      <c r="B63" s="20" t="s">
        <v>35</v>
      </c>
      <c r="C63" s="21"/>
      <c r="D63" s="21"/>
      <c r="E63" s="22"/>
    </row>
    <row r="64" spans="1:5" x14ac:dyDescent="0.25">
      <c r="B64" s="167" t="s">
        <v>31</v>
      </c>
      <c r="C64" s="168"/>
      <c r="D64" s="168"/>
      <c r="E64" s="169"/>
    </row>
    <row r="65" spans="2:16" x14ac:dyDescent="0.25">
      <c r="B65" s="167" t="s">
        <v>259</v>
      </c>
      <c r="C65" s="168"/>
      <c r="D65" s="168"/>
      <c r="E65" s="169"/>
    </row>
    <row r="66" spans="2:16" ht="12.75" customHeight="1" x14ac:dyDescent="0.25">
      <c r="B66" s="85"/>
      <c r="C66" s="170"/>
      <c r="D66" s="170"/>
      <c r="E66" s="171"/>
    </row>
    <row r="71" spans="2:16" x14ac:dyDescent="0.25">
      <c r="B71" s="465" t="s">
        <v>97</v>
      </c>
      <c r="C71" s="466"/>
      <c r="D71" s="466"/>
      <c r="E71" s="466"/>
      <c r="F71" s="466"/>
      <c r="G71" s="466"/>
      <c r="H71" s="467"/>
      <c r="J71" s="550" t="s">
        <v>99</v>
      </c>
      <c r="K71" s="551"/>
      <c r="L71" s="551"/>
      <c r="M71" s="551"/>
      <c r="N71" s="551"/>
      <c r="O71" s="551"/>
      <c r="P71" s="552"/>
    </row>
    <row r="72" spans="2:16" x14ac:dyDescent="0.25">
      <c r="B72" s="482" t="s">
        <v>16</v>
      </c>
      <c r="C72" s="483"/>
      <c r="D72" s="483"/>
      <c r="E72" s="483"/>
      <c r="F72" s="484"/>
      <c r="G72" s="218" t="s">
        <v>17</v>
      </c>
      <c r="H72" s="219" t="s">
        <v>258</v>
      </c>
      <c r="J72" s="482" t="s">
        <v>16</v>
      </c>
      <c r="K72" s="483"/>
      <c r="L72" s="483"/>
      <c r="M72" s="483"/>
      <c r="N72" s="484"/>
      <c r="O72" s="218" t="s">
        <v>17</v>
      </c>
      <c r="P72" s="219" t="str">
        <f>+H72</f>
        <v>EDU/unit</v>
      </c>
    </row>
    <row r="73" spans="2:16" x14ac:dyDescent="0.25">
      <c r="B73" s="79"/>
      <c r="C73" s="92"/>
      <c r="D73" s="92"/>
      <c r="E73" s="92"/>
      <c r="F73" s="92"/>
      <c r="G73" s="79"/>
      <c r="H73" s="80"/>
      <c r="J73" s="79"/>
      <c r="K73" s="92"/>
      <c r="L73" s="92"/>
      <c r="M73" s="92"/>
      <c r="N73" s="92"/>
      <c r="O73" s="79"/>
      <c r="P73" s="80"/>
    </row>
    <row r="74" spans="2:16" x14ac:dyDescent="0.25">
      <c r="B74" s="167" t="s">
        <v>225</v>
      </c>
      <c r="C74" s="168"/>
      <c r="D74" s="168"/>
      <c r="E74" s="168"/>
      <c r="F74" s="168"/>
      <c r="G74" s="177"/>
      <c r="H74" s="174"/>
      <c r="J74" s="167" t="s">
        <v>225</v>
      </c>
      <c r="K74" s="168"/>
      <c r="L74" s="168"/>
      <c r="M74" s="168"/>
      <c r="N74" s="168"/>
      <c r="O74" s="177"/>
      <c r="P74" s="174"/>
    </row>
    <row r="75" spans="2:16" x14ac:dyDescent="0.25">
      <c r="B75" s="167" t="s">
        <v>14</v>
      </c>
      <c r="C75" s="168"/>
      <c r="D75" s="168"/>
      <c r="E75" s="168"/>
      <c r="F75" s="168"/>
      <c r="G75" s="177" t="s">
        <v>18</v>
      </c>
      <c r="H75" s="174">
        <v>1</v>
      </c>
      <c r="J75" s="167" t="s">
        <v>14</v>
      </c>
      <c r="K75" s="168"/>
      <c r="L75" s="168"/>
      <c r="M75" s="168"/>
      <c r="N75" s="168"/>
      <c r="O75" s="177" t="s">
        <v>176</v>
      </c>
      <c r="P75" s="174">
        <v>1</v>
      </c>
    </row>
    <row r="76" spans="2:16" x14ac:dyDescent="0.25">
      <c r="B76" s="167" t="s">
        <v>15</v>
      </c>
      <c r="C76" s="168"/>
      <c r="D76" s="168"/>
      <c r="E76" s="168"/>
      <c r="F76" s="168"/>
      <c r="G76" s="177" t="s">
        <v>18</v>
      </c>
      <c r="H76" s="174">
        <v>1</v>
      </c>
      <c r="J76" s="167" t="s">
        <v>15</v>
      </c>
      <c r="K76" s="168"/>
      <c r="L76" s="168"/>
      <c r="M76" s="168"/>
      <c r="N76" s="168"/>
      <c r="O76" s="177" t="s">
        <v>176</v>
      </c>
      <c r="P76" s="174">
        <v>0.8</v>
      </c>
    </row>
    <row r="77" spans="2:16" x14ac:dyDescent="0.25">
      <c r="B77" s="167" t="s">
        <v>227</v>
      </c>
      <c r="C77" s="168"/>
      <c r="D77" s="168"/>
      <c r="E77" s="168"/>
      <c r="F77" s="168"/>
      <c r="G77" s="177" t="s">
        <v>18</v>
      </c>
      <c r="H77" s="174">
        <v>1</v>
      </c>
      <c r="J77" s="167" t="s">
        <v>227</v>
      </c>
      <c r="K77" s="168"/>
      <c r="L77" s="168"/>
      <c r="M77" s="168"/>
      <c r="N77" s="168"/>
      <c r="O77" s="177" t="s">
        <v>176</v>
      </c>
      <c r="P77" s="174">
        <v>1</v>
      </c>
    </row>
    <row r="78" spans="2:16" x14ac:dyDescent="0.25">
      <c r="B78" s="85"/>
      <c r="C78" s="170"/>
      <c r="D78" s="170"/>
      <c r="E78" s="170"/>
      <c r="F78" s="170"/>
      <c r="G78" s="178"/>
      <c r="H78" s="175"/>
      <c r="J78" s="85"/>
      <c r="K78" s="170"/>
      <c r="L78" s="170"/>
      <c r="M78" s="170"/>
      <c r="N78" s="170"/>
      <c r="O78" s="178"/>
      <c r="P78" s="175"/>
    </row>
    <row r="79" spans="2:16" x14ac:dyDescent="0.25">
      <c r="B79" s="20" t="s">
        <v>228</v>
      </c>
      <c r="C79" s="21"/>
      <c r="D79" s="21"/>
      <c r="E79" s="21"/>
      <c r="F79" s="21"/>
      <c r="G79" s="173"/>
      <c r="H79" s="179"/>
      <c r="J79" s="20" t="s">
        <v>228</v>
      </c>
      <c r="K79" s="21"/>
      <c r="L79" s="21"/>
      <c r="M79" s="21"/>
      <c r="N79" s="21"/>
      <c r="O79" s="173"/>
      <c r="P79" s="179"/>
    </row>
    <row r="80" spans="2:16" x14ac:dyDescent="0.25">
      <c r="B80" s="167" t="s">
        <v>229</v>
      </c>
      <c r="C80" s="168"/>
      <c r="D80" s="168"/>
      <c r="E80" s="168"/>
      <c r="F80" s="168"/>
      <c r="G80" s="177" t="s">
        <v>18</v>
      </c>
      <c r="H80" s="174">
        <v>1</v>
      </c>
      <c r="J80" s="167" t="s">
        <v>229</v>
      </c>
      <c r="K80" s="168"/>
      <c r="L80" s="168"/>
      <c r="M80" s="168"/>
      <c r="N80" s="168"/>
      <c r="O80" s="177" t="s">
        <v>176</v>
      </c>
      <c r="P80" s="174">
        <v>1</v>
      </c>
    </row>
    <row r="81" spans="2:16" x14ac:dyDescent="0.25">
      <c r="B81" s="167" t="s">
        <v>230</v>
      </c>
      <c r="C81" s="168"/>
      <c r="D81" s="168"/>
      <c r="E81" s="168"/>
      <c r="F81" s="168"/>
      <c r="G81" s="177" t="s">
        <v>18</v>
      </c>
      <c r="H81" s="174">
        <v>1</v>
      </c>
      <c r="J81" s="167" t="s">
        <v>230</v>
      </c>
      <c r="K81" s="168"/>
      <c r="L81" s="168"/>
      <c r="M81" s="168"/>
      <c r="N81" s="168"/>
      <c r="O81" s="177" t="s">
        <v>176</v>
      </c>
      <c r="P81" s="174">
        <v>1</v>
      </c>
    </row>
    <row r="82" spans="2:16" x14ac:dyDescent="0.25">
      <c r="B82" s="167" t="s">
        <v>231</v>
      </c>
      <c r="C82" s="168"/>
      <c r="D82" s="168"/>
      <c r="E82" s="168"/>
      <c r="F82" s="168"/>
      <c r="G82" s="177" t="s">
        <v>18</v>
      </c>
      <c r="H82" s="174">
        <v>1</v>
      </c>
      <c r="J82" s="167" t="s">
        <v>231</v>
      </c>
      <c r="K82" s="168"/>
      <c r="L82" s="168"/>
      <c r="M82" s="168"/>
      <c r="N82" s="168"/>
      <c r="O82" s="177" t="s">
        <v>176</v>
      </c>
      <c r="P82" s="174">
        <v>1</v>
      </c>
    </row>
    <row r="83" spans="2:16" x14ac:dyDescent="0.25">
      <c r="B83" s="167"/>
      <c r="C83" s="168"/>
      <c r="D83" s="168"/>
      <c r="E83" s="168"/>
      <c r="F83" s="168"/>
      <c r="G83" s="177"/>
      <c r="H83" s="174"/>
      <c r="J83" s="167"/>
      <c r="K83" s="168"/>
      <c r="L83" s="168"/>
      <c r="M83" s="168"/>
      <c r="N83" s="168"/>
      <c r="O83" s="177"/>
      <c r="P83" s="174"/>
    </row>
    <row r="84" spans="2:16" x14ac:dyDescent="0.25">
      <c r="B84" s="20" t="s">
        <v>232</v>
      </c>
      <c r="C84" s="21"/>
      <c r="D84" s="21"/>
      <c r="E84" s="21"/>
      <c r="F84" s="21"/>
      <c r="G84" s="173"/>
      <c r="H84" s="179"/>
      <c r="J84" s="20" t="s">
        <v>232</v>
      </c>
      <c r="K84" s="21"/>
      <c r="L84" s="21"/>
      <c r="M84" s="21"/>
      <c r="N84" s="21"/>
      <c r="O84" s="173"/>
      <c r="P84" s="179"/>
    </row>
    <row r="85" spans="2:16" x14ac:dyDescent="0.25">
      <c r="B85" s="167" t="s">
        <v>229</v>
      </c>
      <c r="C85" s="168"/>
      <c r="D85" s="168"/>
      <c r="E85" s="168"/>
      <c r="F85" s="168"/>
      <c r="G85" s="177" t="s">
        <v>18</v>
      </c>
      <c r="H85" s="174">
        <v>1</v>
      </c>
      <c r="J85" s="167" t="s">
        <v>229</v>
      </c>
      <c r="K85" s="168"/>
      <c r="L85" s="168"/>
      <c r="M85" s="168"/>
      <c r="N85" s="168"/>
      <c r="O85" s="177" t="s">
        <v>176</v>
      </c>
      <c r="P85" s="174">
        <v>1</v>
      </c>
    </row>
    <row r="86" spans="2:16" x14ac:dyDescent="0.25">
      <c r="B86" s="167"/>
      <c r="C86" s="168"/>
      <c r="D86" s="168"/>
      <c r="E86" s="168"/>
      <c r="F86" s="168"/>
      <c r="G86" s="177"/>
      <c r="H86" s="174"/>
      <c r="J86" s="167"/>
      <c r="K86" s="168"/>
      <c r="L86" s="168"/>
      <c r="M86" s="168"/>
      <c r="N86" s="168"/>
      <c r="O86" s="177"/>
      <c r="P86" s="174"/>
    </row>
    <row r="87" spans="2:16" x14ac:dyDescent="0.25">
      <c r="B87" s="20" t="s">
        <v>233</v>
      </c>
      <c r="C87" s="21"/>
      <c r="D87" s="21"/>
      <c r="E87" s="21"/>
      <c r="F87" s="21"/>
      <c r="G87" s="173"/>
      <c r="H87" s="179"/>
      <c r="J87" s="20" t="s">
        <v>233</v>
      </c>
      <c r="K87" s="21"/>
      <c r="L87" s="21"/>
      <c r="M87" s="21"/>
      <c r="N87" s="21"/>
      <c r="O87" s="173"/>
      <c r="P87" s="179"/>
    </row>
    <row r="88" spans="2:16" x14ac:dyDescent="0.25">
      <c r="B88" s="167" t="s">
        <v>223</v>
      </c>
      <c r="C88" s="168"/>
      <c r="D88" s="168"/>
      <c r="E88" s="168"/>
      <c r="F88" s="168"/>
      <c r="G88" s="177" t="s">
        <v>20</v>
      </c>
      <c r="H88" s="174"/>
      <c r="J88" s="167" t="s">
        <v>223</v>
      </c>
      <c r="K88" s="168"/>
      <c r="L88" s="168"/>
      <c r="M88" s="168"/>
      <c r="N88" s="168"/>
      <c r="O88" s="177" t="s">
        <v>20</v>
      </c>
      <c r="P88" s="174"/>
    </row>
    <row r="89" spans="2:16" x14ac:dyDescent="0.25">
      <c r="B89" s="167" t="s">
        <v>244</v>
      </c>
      <c r="C89" s="168"/>
      <c r="D89" s="168"/>
      <c r="E89" s="168"/>
      <c r="F89" s="168"/>
      <c r="G89" s="177" t="s">
        <v>20</v>
      </c>
      <c r="H89" s="174"/>
      <c r="J89" s="167" t="s">
        <v>244</v>
      </c>
      <c r="K89" s="168"/>
      <c r="L89" s="168"/>
      <c r="M89" s="168"/>
      <c r="N89" s="168"/>
      <c r="O89" s="177" t="s">
        <v>20</v>
      </c>
      <c r="P89" s="174"/>
    </row>
    <row r="90" spans="2:16" x14ac:dyDescent="0.25">
      <c r="B90" s="167" t="s">
        <v>245</v>
      </c>
      <c r="C90" s="168"/>
      <c r="D90" s="168"/>
      <c r="E90" s="168"/>
      <c r="F90" s="168"/>
      <c r="G90" s="177" t="s">
        <v>20</v>
      </c>
      <c r="H90" s="174"/>
      <c r="J90" s="167" t="s">
        <v>245</v>
      </c>
      <c r="K90" s="168"/>
      <c r="L90" s="168"/>
      <c r="M90" s="168"/>
      <c r="N90" s="168"/>
      <c r="O90" s="177" t="s">
        <v>20</v>
      </c>
      <c r="P90" s="174"/>
    </row>
    <row r="91" spans="2:16" x14ac:dyDescent="0.25">
      <c r="B91" s="167" t="s">
        <v>246</v>
      </c>
      <c r="C91" s="168"/>
      <c r="D91" s="168"/>
      <c r="E91" s="168"/>
      <c r="F91" s="168"/>
      <c r="G91" s="177" t="s">
        <v>20</v>
      </c>
      <c r="H91" s="174"/>
      <c r="J91" s="167" t="s">
        <v>246</v>
      </c>
      <c r="K91" s="168"/>
      <c r="L91" s="168"/>
      <c r="M91" s="168"/>
      <c r="N91" s="168"/>
      <c r="O91" s="177" t="s">
        <v>20</v>
      </c>
      <c r="P91" s="174"/>
    </row>
    <row r="92" spans="2:16" x14ac:dyDescent="0.25">
      <c r="B92" s="167"/>
      <c r="C92" s="168"/>
      <c r="D92" s="168"/>
      <c r="E92" s="168"/>
      <c r="F92" s="168"/>
      <c r="G92" s="177"/>
      <c r="H92" s="174"/>
      <c r="J92" s="167"/>
      <c r="K92" s="168"/>
      <c r="L92" s="168"/>
      <c r="M92" s="168"/>
      <c r="N92" s="168"/>
      <c r="O92" s="177"/>
      <c r="P92" s="174"/>
    </row>
    <row r="93" spans="2:16" x14ac:dyDescent="0.25">
      <c r="B93" s="20" t="s">
        <v>234</v>
      </c>
      <c r="C93" s="21"/>
      <c r="D93" s="21"/>
      <c r="E93" s="21"/>
      <c r="F93" s="21"/>
      <c r="G93" s="173"/>
      <c r="H93" s="179"/>
      <c r="J93" s="20" t="s">
        <v>234</v>
      </c>
      <c r="K93" s="21"/>
      <c r="L93" s="21"/>
      <c r="M93" s="21"/>
      <c r="N93" s="21"/>
      <c r="O93" s="173"/>
      <c r="P93" s="179"/>
    </row>
    <row r="94" spans="2:16" x14ac:dyDescent="0.25">
      <c r="B94" s="167" t="s">
        <v>224</v>
      </c>
      <c r="C94" s="168"/>
      <c r="D94" s="168"/>
      <c r="E94" s="168"/>
      <c r="F94" s="168"/>
      <c r="G94" s="177" t="s">
        <v>20</v>
      </c>
      <c r="H94" s="174"/>
      <c r="J94" s="167" t="s">
        <v>224</v>
      </c>
      <c r="K94" s="168"/>
      <c r="L94" s="168"/>
      <c r="M94" s="168"/>
      <c r="N94" s="168"/>
      <c r="O94" s="177" t="s">
        <v>20</v>
      </c>
      <c r="P94" s="174"/>
    </row>
    <row r="95" spans="2:16" x14ac:dyDescent="0.25">
      <c r="B95" s="167" t="s">
        <v>239</v>
      </c>
      <c r="C95" s="168"/>
      <c r="D95" s="168"/>
      <c r="E95" s="168"/>
      <c r="F95" s="168"/>
      <c r="G95" s="177" t="s">
        <v>20</v>
      </c>
      <c r="H95" s="174"/>
      <c r="J95" s="167" t="s">
        <v>239</v>
      </c>
      <c r="K95" s="168"/>
      <c r="L95" s="168"/>
      <c r="M95" s="168"/>
      <c r="N95" s="168"/>
      <c r="O95" s="177" t="s">
        <v>20</v>
      </c>
      <c r="P95" s="174"/>
    </row>
    <row r="96" spans="2:16" x14ac:dyDescent="0.25">
      <c r="B96" s="167" t="s">
        <v>243</v>
      </c>
      <c r="C96" s="168"/>
      <c r="D96" s="168"/>
      <c r="E96" s="168"/>
      <c r="F96" s="168"/>
      <c r="G96" s="177" t="s">
        <v>20</v>
      </c>
      <c r="H96" s="174"/>
      <c r="J96" s="167" t="s">
        <v>243</v>
      </c>
      <c r="K96" s="168"/>
      <c r="L96" s="168"/>
      <c r="M96" s="168"/>
      <c r="N96" s="168"/>
      <c r="O96" s="177" t="s">
        <v>20</v>
      </c>
      <c r="P96" s="174"/>
    </row>
    <row r="97" spans="2:16" x14ac:dyDescent="0.25">
      <c r="B97" s="85"/>
      <c r="C97" s="170"/>
      <c r="D97" s="170"/>
      <c r="E97" s="170"/>
      <c r="F97" s="170"/>
      <c r="G97" s="175"/>
      <c r="H97" s="217"/>
      <c r="J97" s="85"/>
      <c r="K97" s="170"/>
      <c r="L97" s="170"/>
      <c r="M97" s="170"/>
      <c r="N97" s="170"/>
      <c r="O97" s="175"/>
      <c r="P97" s="217"/>
    </row>
    <row r="98" spans="2:16" x14ac:dyDescent="0.25">
      <c r="B98" s="20" t="s">
        <v>235</v>
      </c>
      <c r="C98" s="168"/>
      <c r="D98" s="168"/>
      <c r="E98" s="168"/>
      <c r="F98" s="168"/>
      <c r="G98" s="177"/>
      <c r="H98" s="174"/>
      <c r="J98" s="20" t="s">
        <v>235</v>
      </c>
      <c r="K98" s="168"/>
      <c r="L98" s="168"/>
      <c r="M98" s="168"/>
      <c r="N98" s="168"/>
      <c r="O98" s="177"/>
      <c r="P98" s="174"/>
    </row>
    <row r="99" spans="2:16" x14ac:dyDescent="0.25">
      <c r="B99" s="167" t="s">
        <v>237</v>
      </c>
      <c r="C99" s="168"/>
      <c r="D99" s="168"/>
      <c r="E99" s="168"/>
      <c r="F99" s="168"/>
      <c r="G99" s="177" t="s">
        <v>20</v>
      </c>
      <c r="H99" s="174"/>
      <c r="J99" s="167" t="s">
        <v>237</v>
      </c>
      <c r="K99" s="168"/>
      <c r="L99" s="168"/>
      <c r="M99" s="168"/>
      <c r="N99" s="168"/>
      <c r="O99" s="177" t="s">
        <v>20</v>
      </c>
      <c r="P99" s="174"/>
    </row>
    <row r="100" spans="2:16" x14ac:dyDescent="0.25">
      <c r="B100" s="167" t="s">
        <v>239</v>
      </c>
      <c r="C100" s="168"/>
      <c r="D100" s="168"/>
      <c r="E100" s="168"/>
      <c r="F100" s="168"/>
      <c r="G100" s="177" t="s">
        <v>20</v>
      </c>
      <c r="H100" s="174"/>
      <c r="J100" s="167" t="s">
        <v>239</v>
      </c>
      <c r="K100" s="168"/>
      <c r="L100" s="168"/>
      <c r="M100" s="168"/>
      <c r="N100" s="168"/>
      <c r="O100" s="177" t="s">
        <v>20</v>
      </c>
      <c r="P100" s="174"/>
    </row>
    <row r="101" spans="2:16" x14ac:dyDescent="0.25">
      <c r="B101" s="167" t="s">
        <v>240</v>
      </c>
      <c r="C101" s="168"/>
      <c r="D101" s="168"/>
      <c r="E101" s="168"/>
      <c r="F101" s="168"/>
      <c r="G101" s="177" t="s">
        <v>20</v>
      </c>
      <c r="H101" s="174"/>
      <c r="J101" s="167" t="s">
        <v>240</v>
      </c>
      <c r="K101" s="168"/>
      <c r="L101" s="168"/>
      <c r="M101" s="168"/>
      <c r="N101" s="168"/>
      <c r="O101" s="177" t="s">
        <v>20</v>
      </c>
      <c r="P101" s="174"/>
    </row>
    <row r="102" spans="2:16" x14ac:dyDescent="0.25">
      <c r="B102" s="167" t="s">
        <v>238</v>
      </c>
      <c r="C102" s="168"/>
      <c r="D102" s="168"/>
      <c r="E102" s="168"/>
      <c r="F102" s="168"/>
      <c r="G102" s="177" t="s">
        <v>18</v>
      </c>
      <c r="H102" s="174">
        <v>1</v>
      </c>
      <c r="J102" s="167" t="s">
        <v>238</v>
      </c>
      <c r="K102" s="168"/>
      <c r="L102" s="168"/>
      <c r="M102" s="168"/>
      <c r="N102" s="168"/>
      <c r="O102" s="177" t="s">
        <v>176</v>
      </c>
      <c r="P102" s="174">
        <v>1</v>
      </c>
    </row>
    <row r="103" spans="2:16" x14ac:dyDescent="0.25">
      <c r="B103" s="167" t="s">
        <v>241</v>
      </c>
      <c r="C103" s="168"/>
      <c r="D103" s="168"/>
      <c r="E103" s="168"/>
      <c r="F103" s="168"/>
      <c r="G103" s="177" t="s">
        <v>18</v>
      </c>
      <c r="H103" s="174">
        <v>1</v>
      </c>
      <c r="J103" s="167" t="s">
        <v>241</v>
      </c>
      <c r="K103" s="168"/>
      <c r="L103" s="168"/>
      <c r="M103" s="168"/>
      <c r="N103" s="168"/>
      <c r="O103" s="177" t="s">
        <v>176</v>
      </c>
      <c r="P103" s="174">
        <v>1</v>
      </c>
    </row>
    <row r="104" spans="2:16" x14ac:dyDescent="0.25">
      <c r="B104" s="167" t="s">
        <v>242</v>
      </c>
      <c r="C104" s="168"/>
      <c r="D104" s="168"/>
      <c r="E104" s="168"/>
      <c r="F104" s="168"/>
      <c r="G104" s="177" t="s">
        <v>18</v>
      </c>
      <c r="H104" s="174">
        <v>1</v>
      </c>
      <c r="J104" s="167" t="s">
        <v>242</v>
      </c>
      <c r="K104" s="168"/>
      <c r="L104" s="168"/>
      <c r="M104" s="168"/>
      <c r="N104" s="168"/>
      <c r="O104" s="177" t="s">
        <v>176</v>
      </c>
      <c r="P104" s="174">
        <v>1</v>
      </c>
    </row>
    <row r="105" spans="2:16" x14ac:dyDescent="0.25">
      <c r="B105" s="167"/>
      <c r="C105" s="168"/>
      <c r="D105" s="168"/>
      <c r="E105" s="168"/>
      <c r="F105" s="168"/>
      <c r="G105" s="177"/>
      <c r="H105" s="174"/>
      <c r="J105" s="167"/>
      <c r="K105" s="168"/>
      <c r="L105" s="168"/>
      <c r="M105" s="168"/>
      <c r="N105" s="168"/>
      <c r="O105" s="177"/>
      <c r="P105" s="174"/>
    </row>
    <row r="106" spans="2:16" x14ac:dyDescent="0.25">
      <c r="B106" s="20" t="s">
        <v>236</v>
      </c>
      <c r="C106" s="21"/>
      <c r="D106" s="21"/>
      <c r="E106" s="21"/>
      <c r="F106" s="21"/>
      <c r="G106" s="173"/>
      <c r="H106" s="179"/>
      <c r="J106" s="20" t="s">
        <v>236</v>
      </c>
      <c r="K106" s="21"/>
      <c r="L106" s="21"/>
      <c r="M106" s="21"/>
      <c r="N106" s="21"/>
      <c r="O106" s="173"/>
      <c r="P106" s="179"/>
    </row>
    <row r="107" spans="2:16" x14ac:dyDescent="0.25">
      <c r="B107" s="167" t="s">
        <v>248</v>
      </c>
      <c r="C107" s="168"/>
      <c r="D107" s="168"/>
      <c r="E107" s="168"/>
      <c r="F107" s="168"/>
      <c r="G107" s="177" t="s">
        <v>18</v>
      </c>
      <c r="H107" s="174">
        <v>1</v>
      </c>
      <c r="J107" s="167" t="s">
        <v>248</v>
      </c>
      <c r="K107" s="168"/>
      <c r="L107" s="168"/>
      <c r="M107" s="168"/>
      <c r="N107" s="168"/>
      <c r="O107" s="177" t="s">
        <v>176</v>
      </c>
      <c r="P107" s="174">
        <v>0.8</v>
      </c>
    </row>
    <row r="108" spans="2:16" x14ac:dyDescent="0.25">
      <c r="B108" s="167" t="s">
        <v>249</v>
      </c>
      <c r="C108" s="168"/>
      <c r="D108" s="168"/>
      <c r="E108" s="168"/>
      <c r="F108" s="168"/>
      <c r="G108" s="177" t="s">
        <v>18</v>
      </c>
      <c r="H108" s="174">
        <v>1</v>
      </c>
      <c r="J108" s="167" t="s">
        <v>249</v>
      </c>
      <c r="K108" s="168"/>
      <c r="L108" s="168"/>
      <c r="M108" s="168"/>
      <c r="N108" s="168"/>
      <c r="O108" s="177" t="s">
        <v>176</v>
      </c>
      <c r="P108" s="174">
        <v>0.8</v>
      </c>
    </row>
    <row r="109" spans="2:16" x14ac:dyDescent="0.25">
      <c r="B109" s="85" t="s">
        <v>250</v>
      </c>
      <c r="C109" s="170"/>
      <c r="D109" s="170"/>
      <c r="E109" s="170"/>
      <c r="F109" s="170"/>
      <c r="G109" s="178" t="s">
        <v>18</v>
      </c>
      <c r="H109" s="175">
        <v>1</v>
      </c>
      <c r="J109" s="85" t="s">
        <v>250</v>
      </c>
      <c r="K109" s="170"/>
      <c r="L109" s="170"/>
      <c r="M109" s="170"/>
      <c r="N109" s="170"/>
      <c r="O109" s="178" t="s">
        <v>176</v>
      </c>
      <c r="P109" s="175">
        <v>0.8</v>
      </c>
    </row>
    <row r="167" spans="10:11" x14ac:dyDescent="0.25">
      <c r="J167" s="136"/>
      <c r="K167" s="136"/>
    </row>
    <row r="168" spans="10:11" x14ac:dyDescent="0.25">
      <c r="J168" s="136"/>
      <c r="K168" s="136"/>
    </row>
    <row r="169" spans="10:11" x14ac:dyDescent="0.25">
      <c r="J169" s="136"/>
      <c r="K169" s="136"/>
    </row>
    <row r="170" spans="10:11" x14ac:dyDescent="0.25">
      <c r="J170" s="136"/>
      <c r="K170" s="136"/>
    </row>
    <row r="171" spans="10:11" x14ac:dyDescent="0.25">
      <c r="J171" s="136"/>
      <c r="K171" s="136"/>
    </row>
    <row r="172" spans="10:11" x14ac:dyDescent="0.25">
      <c r="J172" s="136"/>
      <c r="K172" s="136"/>
    </row>
    <row r="173" spans="10:11" x14ac:dyDescent="0.25">
      <c r="J173" s="136"/>
      <c r="K173" s="136"/>
    </row>
    <row r="174" spans="10:11" x14ac:dyDescent="0.25">
      <c r="J174" s="136"/>
      <c r="K174" s="136"/>
    </row>
    <row r="175" spans="10:11" x14ac:dyDescent="0.25">
      <c r="J175" s="136"/>
      <c r="K175" s="136"/>
    </row>
    <row r="176" spans="10:11" x14ac:dyDescent="0.25">
      <c r="J176" s="136"/>
      <c r="K176" s="136"/>
    </row>
    <row r="177" spans="10:11" x14ac:dyDescent="0.25">
      <c r="J177" s="136"/>
      <c r="K177" s="136"/>
    </row>
    <row r="178" spans="10:11" x14ac:dyDescent="0.25">
      <c r="J178" s="136"/>
      <c r="K178" s="136"/>
    </row>
    <row r="179" spans="10:11" x14ac:dyDescent="0.25">
      <c r="J179" s="136"/>
      <c r="K179" s="136"/>
    </row>
    <row r="180" spans="10:11" x14ac:dyDescent="0.25">
      <c r="J180" s="136"/>
      <c r="K180" s="136"/>
    </row>
    <row r="181" spans="10:11" x14ac:dyDescent="0.25">
      <c r="J181" s="136"/>
      <c r="K181" s="136"/>
    </row>
    <row r="182" spans="10:11" x14ac:dyDescent="0.25">
      <c r="J182" s="136"/>
      <c r="K182" s="136"/>
    </row>
    <row r="183" spans="10:11" x14ac:dyDescent="0.25">
      <c r="J183" s="136"/>
      <c r="K183" s="136"/>
    </row>
    <row r="184" spans="10:11" x14ac:dyDescent="0.25">
      <c r="J184" s="136"/>
      <c r="K184" s="136"/>
    </row>
    <row r="185" spans="10:11" x14ac:dyDescent="0.25">
      <c r="J185" s="136"/>
      <c r="K185" s="136"/>
    </row>
    <row r="186" spans="10:11" x14ac:dyDescent="0.25">
      <c r="J186" s="136"/>
      <c r="K186" s="136"/>
    </row>
    <row r="187" spans="10:11" x14ac:dyDescent="0.25">
      <c r="J187" s="136"/>
      <c r="K187" s="136"/>
    </row>
  </sheetData>
  <sheetProtection password="CDF4" sheet="1" objects="1" scenarios="1"/>
  <mergeCells count="19">
    <mergeCell ref="A1:I1"/>
    <mergeCell ref="F14:G14"/>
    <mergeCell ref="F15:G15"/>
    <mergeCell ref="F16:G16"/>
    <mergeCell ref="F7:H7"/>
    <mergeCell ref="I7:I8"/>
    <mergeCell ref="B7:E8"/>
    <mergeCell ref="F23:G23"/>
    <mergeCell ref="F24:G24"/>
    <mergeCell ref="J7:K7"/>
    <mergeCell ref="B72:F72"/>
    <mergeCell ref="J72:N72"/>
    <mergeCell ref="B29:F30"/>
    <mergeCell ref="B62:E62"/>
    <mergeCell ref="F25:G25"/>
    <mergeCell ref="B71:H71"/>
    <mergeCell ref="J71:P71"/>
    <mergeCell ref="F17:G17"/>
    <mergeCell ref="F22:G22"/>
  </mergeCells>
  <phoneticPr fontId="4" type="noConversion"/>
  <pageMargins left="0.75" right="0.75" top="0.67" bottom="0.6" header="0.5" footer="0.5"/>
  <pageSetup paperSize="9" scale="97" orientation="landscape" blackAndWhite="1" r:id="rId1"/>
  <headerFooter alignWithMargins="0"/>
  <ignoredErrors>
    <ignoredError sqref="A3 A6 A12 A20 A2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72" r:id="rId4" name="Drop Down 12">
              <controlPr defaultSize="0" autoLine="0" autoPict="0">
                <anchor moveWithCells="1">
                  <from>
                    <xdr:col>1</xdr:col>
                    <xdr:colOff>7620</xdr:colOff>
                    <xdr:row>13</xdr:row>
                    <xdr:rowOff>7620</xdr:rowOff>
                  </from>
                  <to>
                    <xdr:col>4</xdr:col>
                    <xdr:colOff>601980</xdr:colOff>
                    <xdr:row>14</xdr:row>
                    <xdr:rowOff>22860</xdr:rowOff>
                  </to>
                </anchor>
              </controlPr>
            </control>
          </mc:Choice>
        </mc:AlternateContent>
        <mc:AlternateContent xmlns:mc="http://schemas.openxmlformats.org/markup-compatibility/2006">
          <mc:Choice Requires="x14">
            <control shapeId="15373" r:id="rId5" name="Drop Down 13">
              <controlPr defaultSize="0" autoLine="0" autoPict="0">
                <anchor moveWithCells="1">
                  <from>
                    <xdr:col>1</xdr:col>
                    <xdr:colOff>7620</xdr:colOff>
                    <xdr:row>14</xdr:row>
                    <xdr:rowOff>7620</xdr:rowOff>
                  </from>
                  <to>
                    <xdr:col>4</xdr:col>
                    <xdr:colOff>601980</xdr:colOff>
                    <xdr:row>15</xdr:row>
                    <xdr:rowOff>30480</xdr:rowOff>
                  </to>
                </anchor>
              </controlPr>
            </control>
          </mc:Choice>
        </mc:AlternateContent>
        <mc:AlternateContent xmlns:mc="http://schemas.openxmlformats.org/markup-compatibility/2006">
          <mc:Choice Requires="x14">
            <control shapeId="15374" r:id="rId6" name="Drop Down 14">
              <controlPr defaultSize="0" autoLine="0" autoPict="0">
                <anchor moveWithCells="1">
                  <from>
                    <xdr:col>1</xdr:col>
                    <xdr:colOff>7620</xdr:colOff>
                    <xdr:row>15</xdr:row>
                    <xdr:rowOff>7620</xdr:rowOff>
                  </from>
                  <to>
                    <xdr:col>4</xdr:col>
                    <xdr:colOff>601980</xdr:colOff>
                    <xdr:row>16</xdr:row>
                    <xdr:rowOff>22860</xdr:rowOff>
                  </to>
                </anchor>
              </controlPr>
            </control>
          </mc:Choice>
        </mc:AlternateContent>
        <mc:AlternateContent xmlns:mc="http://schemas.openxmlformats.org/markup-compatibility/2006">
          <mc:Choice Requires="x14">
            <control shapeId="15375" r:id="rId7" name="Drop Down 15">
              <controlPr defaultSize="0" autoLine="0" autoPict="0">
                <anchor moveWithCells="1">
                  <from>
                    <xdr:col>1</xdr:col>
                    <xdr:colOff>7620</xdr:colOff>
                    <xdr:row>21</xdr:row>
                    <xdr:rowOff>22860</xdr:rowOff>
                  </from>
                  <to>
                    <xdr:col>5</xdr:col>
                    <xdr:colOff>7620</xdr:colOff>
                    <xdr:row>22</xdr:row>
                    <xdr:rowOff>30480</xdr:rowOff>
                  </to>
                </anchor>
              </controlPr>
            </control>
          </mc:Choice>
        </mc:AlternateContent>
        <mc:AlternateContent xmlns:mc="http://schemas.openxmlformats.org/markup-compatibility/2006">
          <mc:Choice Requires="x14">
            <control shapeId="15376" r:id="rId8" name="Drop Down 16">
              <controlPr defaultSize="0" autoLine="0" autoPict="0">
                <anchor moveWithCells="1">
                  <from>
                    <xdr:col>1</xdr:col>
                    <xdr:colOff>7620</xdr:colOff>
                    <xdr:row>22</xdr:row>
                    <xdr:rowOff>22860</xdr:rowOff>
                  </from>
                  <to>
                    <xdr:col>5</xdr:col>
                    <xdr:colOff>0</xdr:colOff>
                    <xdr:row>23</xdr:row>
                    <xdr:rowOff>30480</xdr:rowOff>
                  </to>
                </anchor>
              </controlPr>
            </control>
          </mc:Choice>
        </mc:AlternateContent>
        <mc:AlternateContent xmlns:mc="http://schemas.openxmlformats.org/markup-compatibility/2006">
          <mc:Choice Requires="x14">
            <control shapeId="15377" r:id="rId9" name="Drop Down 17">
              <controlPr defaultSize="0" autoLine="0" autoPict="0">
                <anchor moveWithCells="1">
                  <from>
                    <xdr:col>1</xdr:col>
                    <xdr:colOff>7620</xdr:colOff>
                    <xdr:row>23</xdr:row>
                    <xdr:rowOff>30480</xdr:rowOff>
                  </from>
                  <to>
                    <xdr:col>5</xdr:col>
                    <xdr:colOff>7620</xdr:colOff>
                    <xdr:row>24</xdr:row>
                    <xdr:rowOff>38100</xdr:rowOff>
                  </to>
                </anchor>
              </controlPr>
            </control>
          </mc:Choice>
        </mc:AlternateContent>
        <mc:AlternateContent xmlns:mc="http://schemas.openxmlformats.org/markup-compatibility/2006">
          <mc:Choice Requires="x14">
            <control shapeId="15378" r:id="rId10" name="Drop Down 18">
              <controlPr defaultSize="0" autoLine="0" autoPict="0">
                <anchor moveWithCells="1">
                  <from>
                    <xdr:col>1</xdr:col>
                    <xdr:colOff>7620</xdr:colOff>
                    <xdr:row>23</xdr:row>
                    <xdr:rowOff>22860</xdr:rowOff>
                  </from>
                  <to>
                    <xdr:col>4</xdr:col>
                    <xdr:colOff>601980</xdr:colOff>
                    <xdr:row>24</xdr:row>
                    <xdr:rowOff>30480</xdr:rowOff>
                  </to>
                </anchor>
              </controlPr>
            </control>
          </mc:Choice>
        </mc:AlternateContent>
        <mc:AlternateContent xmlns:mc="http://schemas.openxmlformats.org/markup-compatibility/2006">
          <mc:Choice Requires="x14">
            <control shapeId="15379" r:id="rId11" name="Drop Down 19">
              <controlPr defaultSize="0" autoLine="0" autoPict="0">
                <anchor moveWithCells="1">
                  <from>
                    <xdr:col>3</xdr:col>
                    <xdr:colOff>99060</xdr:colOff>
                    <xdr:row>2</xdr:row>
                    <xdr:rowOff>68580</xdr:rowOff>
                  </from>
                  <to>
                    <xdr:col>7</xdr:col>
                    <xdr:colOff>373380</xdr:colOff>
                    <xdr:row>3</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Z19"/>
  <sheetViews>
    <sheetView showGridLines="0" zoomScale="75" workbookViewId="0">
      <selection activeCell="F3" sqref="F3"/>
    </sheetView>
  </sheetViews>
  <sheetFormatPr defaultColWidth="9.109375" defaultRowHeight="13.2" x14ac:dyDescent="0.25"/>
  <cols>
    <col min="1" max="1" width="4.6640625" style="109" customWidth="1"/>
    <col min="2" max="3" width="9.109375" style="109"/>
    <col min="4" max="4" width="12.6640625" style="109" customWidth="1"/>
    <col min="5" max="5" width="10.33203125" style="109" bestFit="1" customWidth="1"/>
    <col min="6" max="25" width="9.109375" style="109"/>
    <col min="26" max="26" width="0" style="109" hidden="1" customWidth="1"/>
    <col min="27" max="16384" width="9.109375" style="109"/>
  </cols>
  <sheetData>
    <row r="1" spans="1:26" ht="15.6" x14ac:dyDescent="0.3">
      <c r="A1" s="206" t="s">
        <v>218</v>
      </c>
      <c r="N1" s="207" t="s">
        <v>295</v>
      </c>
    </row>
    <row r="2" spans="1:26" ht="63.75" customHeight="1" x14ac:dyDescent="0.25"/>
    <row r="3" spans="1:26" x14ac:dyDescent="0.25">
      <c r="A3" s="135" t="s">
        <v>44</v>
      </c>
      <c r="B3" s="137" t="s">
        <v>89</v>
      </c>
      <c r="F3" s="160"/>
      <c r="G3" s="109" t="s">
        <v>91</v>
      </c>
    </row>
    <row r="4" spans="1:26" x14ac:dyDescent="0.25">
      <c r="A4" s="135"/>
      <c r="B4" s="137"/>
    </row>
    <row r="5" spans="1:26" ht="37.5" customHeight="1" x14ac:dyDescent="0.25">
      <c r="A5" s="135" t="s">
        <v>37</v>
      </c>
      <c r="B5" s="137" t="s">
        <v>219</v>
      </c>
      <c r="Z5" s="138" t="b">
        <v>1</v>
      </c>
    </row>
    <row r="6" spans="1:26" ht="33" customHeight="1" x14ac:dyDescent="0.25"/>
    <row r="8" spans="1:26" x14ac:dyDescent="0.25">
      <c r="B8" s="479" t="s">
        <v>28</v>
      </c>
      <c r="C8" s="480"/>
      <c r="D8" s="480"/>
      <c r="E8" s="481"/>
      <c r="F8" s="465" t="s">
        <v>41</v>
      </c>
      <c r="G8" s="466"/>
      <c r="H8" s="552"/>
      <c r="I8" s="505" t="s">
        <v>100</v>
      </c>
      <c r="J8" s="465" t="s">
        <v>101</v>
      </c>
      <c r="K8" s="467"/>
    </row>
    <row r="9" spans="1:26" x14ac:dyDescent="0.25">
      <c r="B9" s="482"/>
      <c r="C9" s="483"/>
      <c r="D9" s="483"/>
      <c r="E9" s="484"/>
      <c r="F9" s="63" t="s">
        <v>92</v>
      </c>
      <c r="G9" s="63" t="s">
        <v>29</v>
      </c>
      <c r="H9" s="63" t="str">
        <f>IF($Z$5=TRUE,"RBCI","No index")</f>
        <v>RBCI</v>
      </c>
      <c r="I9" s="506"/>
      <c r="J9" s="7" t="s">
        <v>92</v>
      </c>
      <c r="K9" s="7" t="s">
        <v>29</v>
      </c>
    </row>
    <row r="10" spans="1:26" ht="15" customHeight="1" x14ac:dyDescent="0.25">
      <c r="B10" s="12" t="s">
        <v>220</v>
      </c>
      <c r="C10" s="13"/>
      <c r="D10" s="13"/>
      <c r="E10" s="14"/>
      <c r="F10" s="9">
        <v>7929</v>
      </c>
      <c r="G10" s="62" t="s">
        <v>294</v>
      </c>
      <c r="H10" s="2">
        <f>IF($Z$5=TRUE,91.8,"")</f>
        <v>91.8</v>
      </c>
      <c r="I10" s="11">
        <f>IF($Z$5=TRUE,'June 2009 Summary'!$D$16/'Car Parking'!$H$10,1)</f>
        <v>1.0370370370370372</v>
      </c>
      <c r="J10" s="9">
        <f>+F10*I10</f>
        <v>8222.6666666666679</v>
      </c>
      <c r="K10" s="60" t="str">
        <f>+'June 2009 Summary'!D14</f>
        <v>Jun '09</v>
      </c>
    </row>
    <row r="11" spans="1:26" x14ac:dyDescent="0.25">
      <c r="F11" s="210" t="str">
        <f>IF($Z$5=TRUE,"Note - RBCI applied given condition of approval","Note - Base Rate set per policy, as yet no indexation applies automatically")</f>
        <v>Note - RBCI applied given condition of approval</v>
      </c>
      <c r="G11" s="140"/>
      <c r="H11" s="140"/>
      <c r="S11" s="138"/>
    </row>
    <row r="13" spans="1:26" x14ac:dyDescent="0.25">
      <c r="A13" s="135" t="s">
        <v>38</v>
      </c>
      <c r="B13" s="137" t="s">
        <v>273</v>
      </c>
    </row>
    <row r="14" spans="1:26" x14ac:dyDescent="0.25">
      <c r="B14" s="479" t="s">
        <v>262</v>
      </c>
      <c r="C14" s="480"/>
      <c r="D14" s="481"/>
      <c r="E14" s="25" t="s">
        <v>268</v>
      </c>
      <c r="J14" s="211"/>
    </row>
    <row r="15" spans="1:26" x14ac:dyDescent="0.25">
      <c r="B15" s="482"/>
      <c r="C15" s="483"/>
      <c r="D15" s="484"/>
      <c r="E15" s="26" t="str">
        <f>+K10</f>
        <v>Jun '09</v>
      </c>
    </row>
    <row r="16" spans="1:26" ht="16.5" customHeight="1" x14ac:dyDescent="0.25">
      <c r="B16" s="12" t="s">
        <v>274</v>
      </c>
      <c r="C16" s="13"/>
      <c r="D16" s="13"/>
      <c r="E16" s="27">
        <f>+F3*J10</f>
        <v>0</v>
      </c>
    </row>
    <row r="17" spans="1:5" x14ac:dyDescent="0.25">
      <c r="A17" s="135"/>
    </row>
    <row r="18" spans="1:5" x14ac:dyDescent="0.25">
      <c r="E18" s="212"/>
    </row>
    <row r="19" spans="1:5" x14ac:dyDescent="0.25">
      <c r="B19" s="135"/>
    </row>
  </sheetData>
  <sheetProtection password="CDF4" sheet="1" objects="1" scenarios="1"/>
  <mergeCells count="5">
    <mergeCell ref="B14:D15"/>
    <mergeCell ref="J8:K8"/>
    <mergeCell ref="B8:E9"/>
    <mergeCell ref="I8:I9"/>
    <mergeCell ref="F8:H8"/>
  </mergeCells>
  <phoneticPr fontId="4" type="noConversion"/>
  <pageMargins left="0.75" right="0.75" top="1" bottom="1" header="0.5" footer="0.5"/>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defaultSize="0" autoFill="0" autoLine="0" autoPict="0">
                <anchor moveWithCells="1" sizeWithCells="1">
                  <from>
                    <xdr:col>0</xdr:col>
                    <xdr:colOff>304800</xdr:colOff>
                    <xdr:row>5</xdr:row>
                    <xdr:rowOff>121920</xdr:rowOff>
                  </from>
                  <to>
                    <xdr:col>7</xdr:col>
                    <xdr:colOff>274320</xdr:colOff>
                    <xdr:row>5</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S202"/>
  <sheetViews>
    <sheetView showGridLines="0" zoomScale="75" workbookViewId="0">
      <selection activeCell="G11" sqref="G11"/>
    </sheetView>
  </sheetViews>
  <sheetFormatPr defaultColWidth="9.109375" defaultRowHeight="13.2" x14ac:dyDescent="0.25"/>
  <cols>
    <col min="1" max="1" width="5.109375" style="109" customWidth="1"/>
    <col min="2" max="2" width="11.44140625" style="109" customWidth="1"/>
    <col min="3" max="3" width="10.6640625" style="109" customWidth="1"/>
    <col min="4" max="4" width="14.33203125" style="109" customWidth="1"/>
    <col min="5" max="5" width="13.109375" style="109" customWidth="1"/>
    <col min="6" max="6" width="11.88671875" style="109" customWidth="1"/>
    <col min="7" max="7" width="9.109375" style="109"/>
    <col min="8" max="8" width="11.5546875" style="109" customWidth="1"/>
    <col min="9" max="9" width="11.88671875" style="109" customWidth="1"/>
    <col min="10" max="13" width="9.109375" style="109"/>
    <col min="14" max="14" width="12.109375" style="109" customWidth="1"/>
    <col min="15" max="15" width="12" style="109" customWidth="1"/>
    <col min="16" max="16" width="11.88671875" style="109" customWidth="1"/>
    <col min="17" max="17" width="16.88671875" style="109" customWidth="1"/>
    <col min="18" max="18" width="9.109375" style="109"/>
    <col min="19" max="19" width="9.109375" style="109" hidden="1" customWidth="1"/>
    <col min="20" max="21" width="9.109375" style="109"/>
    <col min="22" max="22" width="12.109375" style="109" customWidth="1"/>
    <col min="23" max="16384" width="9.109375" style="109"/>
  </cols>
  <sheetData>
    <row r="1" spans="1:19" ht="42.75" customHeight="1" x14ac:dyDescent="0.25">
      <c r="A1" s="571" t="s">
        <v>440</v>
      </c>
      <c r="B1" s="553"/>
      <c r="C1" s="553"/>
      <c r="D1" s="553"/>
      <c r="E1" s="553"/>
      <c r="F1" s="553"/>
      <c r="G1" s="553"/>
      <c r="H1" s="553"/>
      <c r="I1" s="553"/>
      <c r="N1" s="210" t="s">
        <v>328</v>
      </c>
    </row>
    <row r="2" spans="1:19" ht="15.6" x14ac:dyDescent="0.3">
      <c r="A2" s="206"/>
      <c r="O2" s="210"/>
    </row>
    <row r="3" spans="1:19" ht="15.6" x14ac:dyDescent="0.3">
      <c r="A3" s="206"/>
      <c r="O3" s="210"/>
    </row>
    <row r="4" spans="1:19" ht="15.6" x14ac:dyDescent="0.3">
      <c r="A4" s="206"/>
      <c r="O4" s="210"/>
    </row>
    <row r="5" spans="1:19" ht="15.6" x14ac:dyDescent="0.3">
      <c r="A5" s="206"/>
      <c r="O5" s="210"/>
    </row>
    <row r="6" spans="1:19" x14ac:dyDescent="0.25">
      <c r="S6" s="138">
        <v>1</v>
      </c>
    </row>
    <row r="7" spans="1:19" x14ac:dyDescent="0.25">
      <c r="A7" s="135" t="s">
        <v>44</v>
      </c>
      <c r="B7" s="137" t="s">
        <v>30</v>
      </c>
      <c r="C7" s="137"/>
      <c r="S7" s="138">
        <v>1</v>
      </c>
    </row>
    <row r="8" spans="1:19" x14ac:dyDescent="0.25">
      <c r="A8" s="135"/>
      <c r="C8" s="137"/>
      <c r="S8" s="138"/>
    </row>
    <row r="9" spans="1:19" x14ac:dyDescent="0.25">
      <c r="A9" s="135">
        <v>2</v>
      </c>
      <c r="B9" s="137" t="s">
        <v>329</v>
      </c>
      <c r="S9" s="138"/>
    </row>
    <row r="10" spans="1:19" ht="15" customHeight="1" x14ac:dyDescent="0.25">
      <c r="B10" s="465" t="s">
        <v>32</v>
      </c>
      <c r="C10" s="466"/>
      <c r="D10" s="467"/>
      <c r="E10" s="465" t="s">
        <v>34</v>
      </c>
      <c r="F10" s="467"/>
      <c r="G10" s="7" t="s">
        <v>33</v>
      </c>
      <c r="H10" s="91" t="s">
        <v>226</v>
      </c>
      <c r="I10" s="64" t="s">
        <v>247</v>
      </c>
      <c r="S10" s="138"/>
    </row>
    <row r="11" spans="1:19" ht="15" customHeight="1" x14ac:dyDescent="0.25">
      <c r="E11" s="502" t="str">
        <f>+IF(S11&gt;1,INDEX($Q$90:$Q$159,S11),"")</f>
        <v/>
      </c>
      <c r="F11" s="503"/>
      <c r="G11" s="88"/>
      <c r="H11" s="87" t="str">
        <f>+IF(OR(E11="FPA",E11="")," ",INDEX($R$90:$R$159,S11))</f>
        <v xml:space="preserve"> </v>
      </c>
      <c r="I11" s="1" t="str">
        <f>+IF(H11=" ","",G11*H11)</f>
        <v/>
      </c>
      <c r="K11" s="158" t="s">
        <v>442</v>
      </c>
      <c r="S11" s="138">
        <v>1</v>
      </c>
    </row>
    <row r="12" spans="1:19" ht="15" customHeight="1" x14ac:dyDescent="0.25">
      <c r="E12" s="502" t="str">
        <f>+IF(S12&gt;1,INDEX($Q$90:$Q$159,S12),"")</f>
        <v/>
      </c>
      <c r="F12" s="503"/>
      <c r="G12" s="88"/>
      <c r="H12" s="87" t="str">
        <f>+IF(OR(E12="FPA",E12="")," ",INDEX($R$90:$R$159,S12))</f>
        <v xml:space="preserve"> </v>
      </c>
      <c r="I12" s="1" t="str">
        <f>+IF(H12=" ","",G12*H12)</f>
        <v/>
      </c>
      <c r="K12" s="109" t="s">
        <v>443</v>
      </c>
      <c r="S12" s="138">
        <v>1</v>
      </c>
    </row>
    <row r="13" spans="1:19" ht="15" customHeight="1" x14ac:dyDescent="0.25">
      <c r="E13" s="502" t="str">
        <f>+IF(S13&gt;1,INDEX($Q$90:$Q$159,S13),"")</f>
        <v/>
      </c>
      <c r="F13" s="503"/>
      <c r="G13" s="88"/>
      <c r="H13" s="87" t="str">
        <f>+IF(OR(E13="FPA",E13="")," ",INDEX($R$90:$R$159,S13))</f>
        <v xml:space="preserve"> </v>
      </c>
      <c r="I13" s="2" t="str">
        <f>+IF(H13=" ","",G13*H13)</f>
        <v/>
      </c>
      <c r="K13" s="109" t="s">
        <v>445</v>
      </c>
      <c r="S13" s="138">
        <v>1</v>
      </c>
    </row>
    <row r="14" spans="1:19" ht="15" customHeight="1" x14ac:dyDescent="0.25">
      <c r="D14" s="141" t="str">
        <f>+IF(OR(E11="FPA",E12="FPA",E13="FPA")," Summarise First Principles Assessment (FPA):","First Principles Assessment only:")</f>
        <v>First Principles Assessment only:</v>
      </c>
      <c r="E14" s="511"/>
      <c r="F14" s="512"/>
      <c r="G14" s="88"/>
      <c r="H14" s="88"/>
      <c r="I14" s="2">
        <f>+IF(H14=" ","",G14*H14)</f>
        <v>0</v>
      </c>
      <c r="K14" s="109" t="s">
        <v>446</v>
      </c>
      <c r="S14" s="138"/>
    </row>
    <row r="15" spans="1:19" ht="15" customHeight="1" x14ac:dyDescent="0.25">
      <c r="H15" s="143" t="s">
        <v>36</v>
      </c>
      <c r="I15" s="19">
        <f>SUM(I11:I14)</f>
        <v>0</v>
      </c>
      <c r="K15" s="109" t="s">
        <v>444</v>
      </c>
      <c r="S15" s="138"/>
    </row>
    <row r="16" spans="1:19" x14ac:dyDescent="0.25">
      <c r="S16" s="138"/>
    </row>
    <row r="17" spans="1:19" x14ac:dyDescent="0.25">
      <c r="A17" s="200">
        <v>3</v>
      </c>
      <c r="B17" s="137" t="s">
        <v>331</v>
      </c>
      <c r="S17" s="138"/>
    </row>
    <row r="18" spans="1:19" ht="15" customHeight="1" x14ac:dyDescent="0.25">
      <c r="B18" s="465" t="s">
        <v>32</v>
      </c>
      <c r="C18" s="466"/>
      <c r="D18" s="467"/>
      <c r="E18" s="465" t="s">
        <v>34</v>
      </c>
      <c r="F18" s="467"/>
      <c r="G18" s="7" t="s">
        <v>33</v>
      </c>
      <c r="H18" s="8" t="str">
        <f>+H10</f>
        <v>TDU/unit</v>
      </c>
      <c r="I18" s="7" t="str">
        <f>+I10</f>
        <v>TDU's</v>
      </c>
      <c r="S18" s="138"/>
    </row>
    <row r="19" spans="1:19" ht="15" customHeight="1" x14ac:dyDescent="0.25">
      <c r="E19" s="502" t="str">
        <f>+IF(S19&gt;1,INDEX($Q$90:$Q$159,S19),"")</f>
        <v/>
      </c>
      <c r="F19" s="503"/>
      <c r="G19" s="88"/>
      <c r="H19" s="87" t="str">
        <f>+IF(OR(E19="FPA",E19="")," ",INDEX($R$90:$R$159,S19))</f>
        <v xml:space="preserve"> </v>
      </c>
      <c r="I19" s="1" t="str">
        <f>+IF(H19=" ","",G19*H19)</f>
        <v/>
      </c>
      <c r="S19" s="138">
        <v>1</v>
      </c>
    </row>
    <row r="20" spans="1:19" ht="15" customHeight="1" x14ac:dyDescent="0.25">
      <c r="E20" s="502" t="str">
        <f>+IF(S20&gt;1,INDEX($Q$90:$Q$159,S20),"")</f>
        <v/>
      </c>
      <c r="F20" s="503"/>
      <c r="G20" s="88"/>
      <c r="H20" s="87" t="str">
        <f>+IF(OR(E20="FPA",E20="")," ",INDEX($R$90:$R$159,S20))</f>
        <v xml:space="preserve"> </v>
      </c>
      <c r="I20" s="1" t="str">
        <f>+IF(H20=" ","",G20*H20)</f>
        <v/>
      </c>
      <c r="S20" s="138">
        <v>1</v>
      </c>
    </row>
    <row r="21" spans="1:19" ht="15" customHeight="1" x14ac:dyDescent="0.25">
      <c r="E21" s="502" t="str">
        <f>+IF(S21&gt;1,INDEX($Q$90:$Q$159,S21),"")</f>
        <v/>
      </c>
      <c r="F21" s="503"/>
      <c r="G21" s="88"/>
      <c r="H21" s="87" t="str">
        <f>+IF(OR(E21="FPA",E21="")," ",INDEX($R$90:$R$159,S21))</f>
        <v xml:space="preserve"> </v>
      </c>
      <c r="I21" s="2" t="str">
        <f>+IF(H21=" ","",G21*H21)</f>
        <v/>
      </c>
      <c r="S21" s="138">
        <v>1</v>
      </c>
    </row>
    <row r="22" spans="1:19" ht="15" customHeight="1" x14ac:dyDescent="0.25">
      <c r="D22" s="141" t="str">
        <f>+IF(OR(E19="FPA",E20="FPA",E21="FPA")," Summarise First Principles Assessment (FPA):","First Principles Assessment only:")</f>
        <v>First Principles Assessment only:</v>
      </c>
      <c r="E22" s="511"/>
      <c r="F22" s="512"/>
      <c r="G22" s="88"/>
      <c r="H22" s="88"/>
      <c r="I22" s="2">
        <f>+IF(H22=" ","",G22*H22)</f>
        <v>0</v>
      </c>
      <c r="S22" s="138"/>
    </row>
    <row r="23" spans="1:19" ht="15" customHeight="1" x14ac:dyDescent="0.25">
      <c r="H23" s="143" t="s">
        <v>36</v>
      </c>
      <c r="I23" s="19">
        <f>SUM(I19:I22)</f>
        <v>0</v>
      </c>
      <c r="S23" s="138"/>
    </row>
    <row r="24" spans="1:19" x14ac:dyDescent="0.25">
      <c r="S24" s="138"/>
    </row>
    <row r="25" spans="1:19" x14ac:dyDescent="0.25">
      <c r="A25" s="135">
        <v>4</v>
      </c>
      <c r="B25" s="137" t="s">
        <v>350</v>
      </c>
      <c r="S25" s="138"/>
    </row>
    <row r="26" spans="1:19" ht="15" customHeight="1" x14ac:dyDescent="0.25">
      <c r="B26" s="479" t="s">
        <v>28</v>
      </c>
      <c r="C26" s="480"/>
      <c r="D26" s="481"/>
      <c r="E26" s="225"/>
      <c r="F26" s="465" t="s">
        <v>41</v>
      </c>
      <c r="G26" s="466"/>
      <c r="H26" s="466"/>
      <c r="I26" s="467"/>
      <c r="J26" s="505" t="s">
        <v>100</v>
      </c>
      <c r="K26" s="465" t="s">
        <v>101</v>
      </c>
      <c r="L26" s="467"/>
      <c r="M26" s="505" t="s">
        <v>603</v>
      </c>
      <c r="S26" s="138"/>
    </row>
    <row r="27" spans="1:19" ht="15" customHeight="1" x14ac:dyDescent="0.25">
      <c r="B27" s="482"/>
      <c r="C27" s="483"/>
      <c r="D27" s="484"/>
      <c r="E27" s="226" t="s">
        <v>88</v>
      </c>
      <c r="F27" s="227" t="s">
        <v>300</v>
      </c>
      <c r="G27" s="63" t="s">
        <v>29</v>
      </c>
      <c r="H27" s="465" t="s">
        <v>327</v>
      </c>
      <c r="I27" s="466"/>
      <c r="J27" s="506"/>
      <c r="K27" s="7" t="str">
        <f>+F27</f>
        <v>$/TDU</v>
      </c>
      <c r="L27" s="7" t="s">
        <v>29</v>
      </c>
      <c r="M27" s="506"/>
      <c r="S27" s="138"/>
    </row>
    <row r="28" spans="1:19" ht="15" customHeight="1" x14ac:dyDescent="0.25">
      <c r="E28" s="106" t="s">
        <v>351</v>
      </c>
      <c r="F28" s="9">
        <f>+INDEX($E$75:$E$85,$S$28)</f>
        <v>0</v>
      </c>
      <c r="G28" s="62" t="s">
        <v>326</v>
      </c>
      <c r="H28" s="107" t="s">
        <v>287</v>
      </c>
      <c r="I28" s="108">
        <v>80.099999999999994</v>
      </c>
      <c r="J28" s="11">
        <f>+'June 2009 Summary'!$D$16/Roads!I28</f>
        <v>1.1885143570536829</v>
      </c>
      <c r="K28" s="9">
        <f>+J28*F28</f>
        <v>0</v>
      </c>
      <c r="L28" s="62" t="str">
        <f>+'June 2009 Summary'!$D$14</f>
        <v>Jun '09</v>
      </c>
      <c r="M28" s="62" t="str">
        <f>+IF($S$28=1,"",INDEX($I$75:$I$85,$S$28))</f>
        <v/>
      </c>
      <c r="S28" s="138">
        <v>1</v>
      </c>
    </row>
    <row r="29" spans="1:19" ht="15" customHeight="1" x14ac:dyDescent="0.25">
      <c r="B29" s="140"/>
      <c r="E29" s="106" t="s">
        <v>352</v>
      </c>
      <c r="F29" s="9">
        <f>+INDEX($F$75:$F$85,$S$28)</f>
        <v>0</v>
      </c>
      <c r="G29" s="62" t="s">
        <v>326</v>
      </c>
      <c r="H29" s="74" t="s">
        <v>105</v>
      </c>
      <c r="I29" s="108">
        <v>84.5</v>
      </c>
      <c r="J29" s="11">
        <f>+'June 2009 Summary'!$D$15/Roads!I29</f>
        <v>1.0994082840236687</v>
      </c>
      <c r="K29" s="9">
        <f>+J29*F29</f>
        <v>0</v>
      </c>
      <c r="L29" s="62" t="str">
        <f>+'June 2009 Summary'!$D$14</f>
        <v>Jun '09</v>
      </c>
      <c r="M29" s="62" t="str">
        <f>+IF($S$28=1,"",INDEX($I$75:$I$85,$S$28))</f>
        <v/>
      </c>
    </row>
    <row r="30" spans="1:19" ht="15" customHeight="1" x14ac:dyDescent="0.25">
      <c r="B30" s="140"/>
      <c r="E30" s="106" t="s">
        <v>353</v>
      </c>
      <c r="F30" s="9">
        <f>+INDEX($G$75:$G$85,$S$28)</f>
        <v>0</v>
      </c>
      <c r="G30" s="62" t="s">
        <v>326</v>
      </c>
      <c r="H30" s="107" t="s">
        <v>287</v>
      </c>
      <c r="I30" s="108">
        <v>80.099999999999994</v>
      </c>
      <c r="J30" s="11">
        <f>+'June 2009 Summary'!$D$16/Roads!I30</f>
        <v>1.1885143570536829</v>
      </c>
      <c r="K30" s="9">
        <f>+J30*F30</f>
        <v>0</v>
      </c>
      <c r="L30" s="62" t="str">
        <f>+'June 2009 Summary'!$D$14</f>
        <v>Jun '09</v>
      </c>
      <c r="M30" s="62" t="str">
        <f>+IF($S$28=1,"",INDEX($J$75:$J$85,$S$28))</f>
        <v/>
      </c>
    </row>
    <row r="31" spans="1:19" ht="15" customHeight="1" x14ac:dyDescent="0.25">
      <c r="B31" s="140"/>
      <c r="E31" s="106" t="s">
        <v>354</v>
      </c>
      <c r="F31" s="9">
        <f>+INDEX($H$75:$H$85,$S$28)</f>
        <v>0</v>
      </c>
      <c r="G31" s="62" t="s">
        <v>326</v>
      </c>
      <c r="H31" s="74" t="s">
        <v>105</v>
      </c>
      <c r="I31" s="108">
        <v>84.5</v>
      </c>
      <c r="J31" s="11">
        <f>+'June 2009 Summary'!$D$15/Roads!I31</f>
        <v>1.0994082840236687</v>
      </c>
      <c r="K31" s="9">
        <f>+J31*F31</f>
        <v>0</v>
      </c>
      <c r="L31" s="62" t="str">
        <f>+'June 2009 Summary'!$D$14</f>
        <v>Jun '09</v>
      </c>
      <c r="M31" s="62" t="str">
        <f>+IF($S$28=1,"",INDEX($J$75:$J$85,$S$28))</f>
        <v/>
      </c>
    </row>
    <row r="32" spans="1:19" x14ac:dyDescent="0.25">
      <c r="B32" s="140"/>
      <c r="F32" s="210" t="s">
        <v>355</v>
      </c>
    </row>
    <row r="34" spans="1:6" x14ac:dyDescent="0.25">
      <c r="A34" s="135">
        <v>5</v>
      </c>
      <c r="B34" s="137" t="s">
        <v>356</v>
      </c>
    </row>
    <row r="35" spans="1:6" x14ac:dyDescent="0.25">
      <c r="B35" s="149" t="s">
        <v>357</v>
      </c>
      <c r="C35" s="220">
        <f>+IF($I$15&gt;$I$23,($I$15-$I$23)*K28,0)</f>
        <v>0</v>
      </c>
      <c r="D35" s="221" t="str">
        <f>+E28</f>
        <v>TCC Works</v>
      </c>
      <c r="E35" s="150"/>
      <c r="F35" s="150" t="str">
        <f>+IF(I23&gt;I15,"No credit in excess of the demand is given","")</f>
        <v/>
      </c>
    </row>
    <row r="36" spans="1:6" x14ac:dyDescent="0.25">
      <c r="C36" s="220">
        <f>+IF($I$15&gt;$I$23,($I$15-$I$23)*K29,0)</f>
        <v>0</v>
      </c>
      <c r="D36" s="221" t="str">
        <f>+E29</f>
        <v>TCC Land</v>
      </c>
    </row>
    <row r="37" spans="1:6" ht="15" customHeight="1" x14ac:dyDescent="0.25">
      <c r="C37" s="220">
        <f>+IF($I$15&gt;$I$23,($I$15-$I$23)*K30,0)</f>
        <v>0</v>
      </c>
      <c r="D37" s="221" t="str">
        <f>+E30</f>
        <v>SCR Works</v>
      </c>
    </row>
    <row r="38" spans="1:6" ht="15" x14ac:dyDescent="0.4">
      <c r="A38" s="135"/>
      <c r="C38" s="222">
        <f>+IF($I$15&gt;$I$23,($I$15-$I$23)*K31,0)</f>
        <v>0</v>
      </c>
      <c r="D38" s="221" t="str">
        <f>+E31</f>
        <v>SCR Land</v>
      </c>
    </row>
    <row r="39" spans="1:6" x14ac:dyDescent="0.25">
      <c r="C39" s="220">
        <f>SUM(C35:C38)</f>
        <v>0</v>
      </c>
      <c r="D39" s="223" t="str">
        <f>+"("&amp;L28&amp;")"</f>
        <v>(Jun '09)</v>
      </c>
      <c r="E39" s="148"/>
    </row>
    <row r="40" spans="1:6" x14ac:dyDescent="0.25">
      <c r="B40" s="135"/>
      <c r="C40" s="224"/>
    </row>
    <row r="41" spans="1:6" x14ac:dyDescent="0.25">
      <c r="B41" s="135"/>
      <c r="C41" s="224"/>
    </row>
    <row r="42" spans="1:6" x14ac:dyDescent="0.25">
      <c r="B42" s="135"/>
      <c r="C42" s="224"/>
    </row>
    <row r="43" spans="1:6" x14ac:dyDescent="0.25">
      <c r="B43" s="135"/>
      <c r="C43" s="224"/>
    </row>
    <row r="44" spans="1:6" x14ac:dyDescent="0.25">
      <c r="B44" s="135"/>
      <c r="C44" s="224"/>
    </row>
    <row r="45" spans="1:6" x14ac:dyDescent="0.25">
      <c r="B45" s="135"/>
      <c r="C45" s="224"/>
    </row>
    <row r="46" spans="1:6" ht="12.75" customHeight="1" x14ac:dyDescent="0.25">
      <c r="B46" s="135"/>
      <c r="C46" s="224"/>
    </row>
    <row r="47" spans="1:6" x14ac:dyDescent="0.25">
      <c r="B47" s="135"/>
      <c r="C47" s="224"/>
    </row>
    <row r="48" spans="1:6" x14ac:dyDescent="0.25">
      <c r="B48" s="135"/>
      <c r="C48" s="224"/>
    </row>
    <row r="49" spans="2:6" x14ac:dyDescent="0.25">
      <c r="B49" s="135"/>
      <c r="C49" s="224"/>
    </row>
    <row r="50" spans="2:6" x14ac:dyDescent="0.25">
      <c r="B50" s="135"/>
      <c r="C50" s="224"/>
    </row>
    <row r="51" spans="2:6" x14ac:dyDescent="0.25">
      <c r="B51" s="135"/>
      <c r="C51" s="224"/>
    </row>
    <row r="52" spans="2:6" x14ac:dyDescent="0.25">
      <c r="B52" s="135"/>
      <c r="C52" s="224"/>
    </row>
    <row r="53" spans="2:6" x14ac:dyDescent="0.25">
      <c r="B53" s="135"/>
      <c r="C53" s="224"/>
    </row>
    <row r="54" spans="2:6" x14ac:dyDescent="0.25">
      <c r="B54" s="135"/>
      <c r="C54" s="224"/>
    </row>
    <row r="55" spans="2:6" x14ac:dyDescent="0.25">
      <c r="B55" s="135"/>
      <c r="C55" s="224"/>
    </row>
    <row r="56" spans="2:6" x14ac:dyDescent="0.25">
      <c r="B56" s="135"/>
      <c r="C56" s="224"/>
    </row>
    <row r="57" spans="2:6" x14ac:dyDescent="0.25">
      <c r="B57" s="135"/>
      <c r="C57" s="224"/>
    </row>
    <row r="60" spans="2:6" x14ac:dyDescent="0.25">
      <c r="B60" s="158" t="s">
        <v>42</v>
      </c>
    </row>
    <row r="62" spans="2:6" x14ac:dyDescent="0.25">
      <c r="B62" s="465" t="s">
        <v>30</v>
      </c>
      <c r="C62" s="466"/>
      <c r="D62" s="466"/>
      <c r="E62" s="466"/>
      <c r="F62" s="467"/>
    </row>
    <row r="63" spans="2:6" x14ac:dyDescent="0.25">
      <c r="B63" s="20"/>
      <c r="C63" s="21"/>
      <c r="D63" s="21"/>
      <c r="E63" s="21"/>
      <c r="F63" s="22"/>
    </row>
    <row r="64" spans="2:6" x14ac:dyDescent="0.25">
      <c r="B64" s="167" t="s">
        <v>259</v>
      </c>
      <c r="C64" s="168"/>
      <c r="D64" s="168"/>
      <c r="E64" s="168"/>
      <c r="F64" s="169"/>
    </row>
    <row r="65" spans="2:10" x14ac:dyDescent="0.25">
      <c r="B65" s="167" t="s">
        <v>358</v>
      </c>
      <c r="C65" s="168"/>
      <c r="D65" s="168"/>
      <c r="E65" s="168"/>
      <c r="F65" s="169"/>
    </row>
    <row r="66" spans="2:10" x14ac:dyDescent="0.25">
      <c r="B66" s="85"/>
      <c r="C66" s="170"/>
      <c r="D66" s="170"/>
      <c r="E66" s="170"/>
      <c r="F66" s="171"/>
    </row>
    <row r="72" spans="2:10" x14ac:dyDescent="0.25">
      <c r="B72" s="563" t="s">
        <v>359</v>
      </c>
      <c r="C72" s="564"/>
      <c r="D72" s="564"/>
      <c r="E72" s="564"/>
      <c r="F72" s="564"/>
      <c r="G72" s="564"/>
      <c r="H72" s="565"/>
      <c r="I72" s="555" t="s">
        <v>441</v>
      </c>
      <c r="J72" s="556"/>
    </row>
    <row r="73" spans="2:10" ht="12.75" customHeight="1" x14ac:dyDescent="0.25">
      <c r="B73" s="566" t="s">
        <v>28</v>
      </c>
      <c r="C73" s="567"/>
      <c r="D73" s="568"/>
      <c r="E73" s="569" t="s">
        <v>360</v>
      </c>
      <c r="F73" s="570"/>
      <c r="G73" s="569" t="s">
        <v>361</v>
      </c>
      <c r="H73" s="570"/>
      <c r="I73" s="557"/>
      <c r="J73" s="558"/>
    </row>
    <row r="74" spans="2:10" x14ac:dyDescent="0.25">
      <c r="B74" s="566"/>
      <c r="C74" s="567"/>
      <c r="D74" s="568"/>
      <c r="E74" s="161" t="s">
        <v>362</v>
      </c>
      <c r="F74" s="25" t="s">
        <v>363</v>
      </c>
      <c r="G74" s="161" t="s">
        <v>362</v>
      </c>
      <c r="H74" s="7" t="s">
        <v>363</v>
      </c>
      <c r="I74" s="83" t="s">
        <v>595</v>
      </c>
      <c r="J74" s="83" t="s">
        <v>596</v>
      </c>
    </row>
    <row r="75" spans="2:10" x14ac:dyDescent="0.25">
      <c r="B75" s="559" t="s">
        <v>35</v>
      </c>
      <c r="C75" s="560"/>
      <c r="D75" s="22"/>
      <c r="E75" s="228"/>
      <c r="F75" s="18"/>
      <c r="G75" s="228"/>
      <c r="H75" s="172"/>
      <c r="I75" s="229"/>
      <c r="J75" s="172"/>
    </row>
    <row r="76" spans="2:10" x14ac:dyDescent="0.25">
      <c r="B76" s="201" t="s">
        <v>409</v>
      </c>
      <c r="C76" s="205"/>
      <c r="D76" s="169"/>
      <c r="E76" s="229">
        <v>831</v>
      </c>
      <c r="F76" s="172">
        <v>269</v>
      </c>
      <c r="G76" s="229">
        <v>1340</v>
      </c>
      <c r="H76" s="172">
        <v>34</v>
      </c>
      <c r="I76" s="229" t="s">
        <v>597</v>
      </c>
      <c r="J76" s="172" t="s">
        <v>449</v>
      </c>
    </row>
    <row r="77" spans="2:10" x14ac:dyDescent="0.25">
      <c r="B77" s="201" t="s">
        <v>410</v>
      </c>
      <c r="C77" s="230"/>
      <c r="D77" s="169"/>
      <c r="E77" s="229">
        <v>823</v>
      </c>
      <c r="F77" s="172">
        <v>126</v>
      </c>
      <c r="G77" s="229">
        <v>2259</v>
      </c>
      <c r="H77" s="172">
        <v>34</v>
      </c>
      <c r="I77" s="229" t="s">
        <v>598</v>
      </c>
      <c r="J77" s="172" t="s">
        <v>450</v>
      </c>
    </row>
    <row r="78" spans="2:10" x14ac:dyDescent="0.25">
      <c r="B78" s="201" t="s">
        <v>411</v>
      </c>
      <c r="C78" s="230"/>
      <c r="D78" s="169"/>
      <c r="E78" s="229">
        <v>2772</v>
      </c>
      <c r="F78" s="172">
        <v>343</v>
      </c>
      <c r="G78" s="229">
        <v>2283</v>
      </c>
      <c r="H78" s="172">
        <v>34</v>
      </c>
      <c r="I78" s="229" t="s">
        <v>599</v>
      </c>
      <c r="J78" s="172" t="s">
        <v>600</v>
      </c>
    </row>
    <row r="79" spans="2:10" x14ac:dyDescent="0.25">
      <c r="B79" s="201" t="s">
        <v>412</v>
      </c>
      <c r="C79" s="230"/>
      <c r="D79" s="169"/>
      <c r="E79" s="229">
        <v>90</v>
      </c>
      <c r="F79" s="172">
        <v>1</v>
      </c>
      <c r="G79" s="229">
        <v>3296</v>
      </c>
      <c r="H79" s="172">
        <v>34</v>
      </c>
      <c r="I79" s="229" t="s">
        <v>601</v>
      </c>
      <c r="J79" s="172" t="s">
        <v>602</v>
      </c>
    </row>
    <row r="80" spans="2:10" x14ac:dyDescent="0.25">
      <c r="B80" s="205" t="s">
        <v>35</v>
      </c>
      <c r="C80" s="230"/>
      <c r="D80" s="169"/>
      <c r="E80" s="229" t="s">
        <v>35</v>
      </c>
      <c r="F80" s="172" t="s">
        <v>35</v>
      </c>
      <c r="G80" s="229" t="s">
        <v>35</v>
      </c>
      <c r="H80" s="172" t="s">
        <v>35</v>
      </c>
      <c r="I80" s="229" t="s">
        <v>35</v>
      </c>
      <c r="J80" s="172"/>
    </row>
    <row r="81" spans="2:18" x14ac:dyDescent="0.25">
      <c r="B81" s="205" t="s">
        <v>35</v>
      </c>
      <c r="C81" s="230"/>
      <c r="D81" s="169"/>
      <c r="E81" s="229" t="s">
        <v>35</v>
      </c>
      <c r="F81" s="172" t="s">
        <v>35</v>
      </c>
      <c r="G81" s="229" t="s">
        <v>35</v>
      </c>
      <c r="H81" s="172" t="s">
        <v>35</v>
      </c>
      <c r="I81" s="229"/>
      <c r="J81" s="172"/>
    </row>
    <row r="82" spans="2:18" x14ac:dyDescent="0.25">
      <c r="B82" s="205" t="s">
        <v>35</v>
      </c>
      <c r="C82" s="230"/>
      <c r="D82" s="169"/>
      <c r="E82" s="229" t="s">
        <v>35</v>
      </c>
      <c r="F82" s="172" t="s">
        <v>35</v>
      </c>
      <c r="G82" s="229" t="s">
        <v>35</v>
      </c>
      <c r="H82" s="172" t="s">
        <v>35</v>
      </c>
      <c r="I82" s="229"/>
      <c r="J82" s="172"/>
    </row>
    <row r="83" spans="2:18" x14ac:dyDescent="0.25">
      <c r="B83" s="205" t="s">
        <v>35</v>
      </c>
      <c r="C83" s="230"/>
      <c r="D83" s="169"/>
      <c r="E83" s="229" t="s">
        <v>35</v>
      </c>
      <c r="F83" s="172" t="s">
        <v>35</v>
      </c>
      <c r="G83" s="229" t="s">
        <v>35</v>
      </c>
      <c r="H83" s="172" t="s">
        <v>35</v>
      </c>
      <c r="I83" s="229"/>
      <c r="J83" s="172"/>
    </row>
    <row r="84" spans="2:18" x14ac:dyDescent="0.25">
      <c r="B84" s="205" t="s">
        <v>35</v>
      </c>
      <c r="C84" s="230"/>
      <c r="D84" s="169"/>
      <c r="E84" s="229" t="s">
        <v>35</v>
      </c>
      <c r="F84" s="172" t="s">
        <v>35</v>
      </c>
      <c r="G84" s="229" t="s">
        <v>35</v>
      </c>
      <c r="H84" s="172" t="s">
        <v>35</v>
      </c>
      <c r="I84" s="229"/>
      <c r="J84" s="172"/>
    </row>
    <row r="85" spans="2:18" x14ac:dyDescent="0.25">
      <c r="B85" s="561" t="s">
        <v>35</v>
      </c>
      <c r="C85" s="562"/>
      <c r="D85" s="171"/>
      <c r="E85" s="232" t="s">
        <v>35</v>
      </c>
      <c r="F85" s="84" t="s">
        <v>35</v>
      </c>
      <c r="G85" s="232" t="s">
        <v>35</v>
      </c>
      <c r="H85" s="84" t="s">
        <v>35</v>
      </c>
      <c r="I85" s="232"/>
      <c r="J85" s="84"/>
    </row>
    <row r="88" spans="2:18" ht="12.75" customHeight="1" x14ac:dyDescent="0.25">
      <c r="B88" s="452" t="s">
        <v>339</v>
      </c>
      <c r="C88" s="475"/>
      <c r="D88" s="475"/>
      <c r="E88" s="475"/>
      <c r="F88" s="476"/>
      <c r="H88" s="452" t="s">
        <v>364</v>
      </c>
      <c r="I88" s="475"/>
      <c r="J88" s="475"/>
      <c r="K88" s="475"/>
      <c r="L88" s="476"/>
      <c r="N88" s="452" t="s">
        <v>43</v>
      </c>
      <c r="O88" s="475"/>
      <c r="P88" s="475"/>
      <c r="Q88" s="475"/>
      <c r="R88" s="476"/>
    </row>
    <row r="89" spans="2:18" x14ac:dyDescent="0.25">
      <c r="B89" s="479" t="s">
        <v>45</v>
      </c>
      <c r="C89" s="480"/>
      <c r="D89" s="481"/>
      <c r="E89" s="81" t="s">
        <v>17</v>
      </c>
      <c r="F89" s="203" t="s">
        <v>226</v>
      </c>
      <c r="H89" s="479" t="s">
        <v>16</v>
      </c>
      <c r="I89" s="480"/>
      <c r="J89" s="481"/>
      <c r="K89" s="81" t="s">
        <v>17</v>
      </c>
      <c r="L89" s="203" t="s">
        <v>226</v>
      </c>
      <c r="N89" s="479" t="str">
        <f>+IF($S$7=2,B89,IF($S$7=3,H89,""))</f>
        <v/>
      </c>
      <c r="O89" s="480"/>
      <c r="P89" s="481"/>
      <c r="Q89" s="471" t="str">
        <f>+IF($S$7=2,E89,IF($S$7=3,K89,""))</f>
        <v/>
      </c>
      <c r="R89" s="473"/>
    </row>
    <row r="90" spans="2:18" x14ac:dyDescent="0.25">
      <c r="B90" s="20"/>
      <c r="C90" s="21"/>
      <c r="D90" s="21"/>
      <c r="E90" s="173"/>
      <c r="F90" s="179"/>
      <c r="H90" s="20"/>
      <c r="I90" s="21"/>
      <c r="J90" s="21"/>
      <c r="K90" s="176"/>
      <c r="L90" s="173"/>
      <c r="N90" s="233"/>
      <c r="O90" s="234"/>
      <c r="P90" s="86"/>
      <c r="Q90" s="179"/>
      <c r="R90" s="179"/>
    </row>
    <row r="91" spans="2:18" x14ac:dyDescent="0.25">
      <c r="B91" s="201" t="s">
        <v>365</v>
      </c>
      <c r="C91" s="168"/>
      <c r="D91" s="168"/>
      <c r="E91" s="376" t="s">
        <v>428</v>
      </c>
      <c r="F91" s="204">
        <v>0.7</v>
      </c>
      <c r="H91" s="167" t="s">
        <v>619</v>
      </c>
      <c r="I91" s="168"/>
      <c r="J91" s="168"/>
      <c r="K91" s="167" t="s">
        <v>323</v>
      </c>
      <c r="L91" s="172">
        <v>2.8</v>
      </c>
      <c r="N91" s="167" t="str">
        <f t="shared" ref="N91:N99" si="0">+IF($S$7=2,B91,IF($S$7=3,H91,""))</f>
        <v/>
      </c>
      <c r="O91" s="235"/>
      <c r="P91" s="236"/>
      <c r="Q91" s="204" t="str">
        <f t="shared" ref="Q91:Q99" si="1">+IF($S$7=2,E91,IF($S$7=3,K91,""))</f>
        <v/>
      </c>
      <c r="R91" s="204" t="str">
        <f t="shared" ref="R91:R99" si="2">+IF($S$7=2,F91,IF($S$7=3,L91,""))</f>
        <v/>
      </c>
    </row>
    <row r="92" spans="2:18" x14ac:dyDescent="0.25">
      <c r="B92" s="201" t="s">
        <v>417</v>
      </c>
      <c r="C92" s="168"/>
      <c r="D92" s="168"/>
      <c r="E92" s="174" t="s">
        <v>25</v>
      </c>
      <c r="F92" s="204">
        <v>0.9</v>
      </c>
      <c r="H92" s="167" t="s">
        <v>35</v>
      </c>
      <c r="I92" s="168"/>
      <c r="J92" s="168"/>
      <c r="K92" s="167" t="s">
        <v>35</v>
      </c>
      <c r="L92" s="172" t="s">
        <v>35</v>
      </c>
      <c r="N92" s="167" t="str">
        <f t="shared" si="0"/>
        <v/>
      </c>
      <c r="O92" s="235"/>
      <c r="P92" s="236"/>
      <c r="Q92" s="204" t="str">
        <f t="shared" si="1"/>
        <v/>
      </c>
      <c r="R92" s="204" t="str">
        <f t="shared" si="2"/>
        <v/>
      </c>
    </row>
    <row r="93" spans="2:18" x14ac:dyDescent="0.25">
      <c r="B93" s="201" t="s">
        <v>418</v>
      </c>
      <c r="C93" s="168"/>
      <c r="D93" s="168"/>
      <c r="E93" s="174" t="s">
        <v>366</v>
      </c>
      <c r="F93" s="204">
        <v>0.2</v>
      </c>
      <c r="H93" s="167" t="s">
        <v>35</v>
      </c>
      <c r="I93" s="168"/>
      <c r="J93" s="168"/>
      <c r="K93" s="167" t="s">
        <v>35</v>
      </c>
      <c r="L93" s="172" t="s">
        <v>35</v>
      </c>
      <c r="N93" s="167" t="str">
        <f t="shared" si="0"/>
        <v/>
      </c>
      <c r="O93" s="168"/>
      <c r="P93" s="169"/>
      <c r="Q93" s="204" t="str">
        <f t="shared" si="1"/>
        <v/>
      </c>
      <c r="R93" s="204" t="str">
        <f t="shared" si="2"/>
        <v/>
      </c>
    </row>
    <row r="94" spans="2:18" x14ac:dyDescent="0.25">
      <c r="B94" s="201" t="s">
        <v>419</v>
      </c>
      <c r="C94" s="168"/>
      <c r="D94" s="168"/>
      <c r="E94" s="174" t="s">
        <v>164</v>
      </c>
      <c r="F94" s="204">
        <v>0.4</v>
      </c>
      <c r="H94" s="167" t="s">
        <v>35</v>
      </c>
      <c r="I94" s="168"/>
      <c r="J94" s="168"/>
      <c r="K94" s="167" t="s">
        <v>35</v>
      </c>
      <c r="L94" s="172" t="s">
        <v>35</v>
      </c>
      <c r="N94" s="167" t="str">
        <f t="shared" si="0"/>
        <v/>
      </c>
      <c r="O94" s="168"/>
      <c r="P94" s="169"/>
      <c r="Q94" s="204" t="str">
        <f t="shared" si="1"/>
        <v/>
      </c>
      <c r="R94" s="204" t="str">
        <f t="shared" si="2"/>
        <v/>
      </c>
    </row>
    <row r="95" spans="2:18" x14ac:dyDescent="0.25">
      <c r="B95" s="205" t="s">
        <v>138</v>
      </c>
      <c r="C95" s="168"/>
      <c r="D95" s="168"/>
      <c r="E95" s="174" t="s">
        <v>420</v>
      </c>
      <c r="F95" s="204">
        <v>1.7</v>
      </c>
      <c r="H95" s="167" t="s">
        <v>35</v>
      </c>
      <c r="I95" s="168"/>
      <c r="J95" s="168"/>
      <c r="K95" s="167" t="s">
        <v>35</v>
      </c>
      <c r="L95" s="172" t="s">
        <v>35</v>
      </c>
      <c r="N95" s="167" t="str">
        <f t="shared" si="0"/>
        <v/>
      </c>
      <c r="O95" s="168"/>
      <c r="P95" s="169"/>
      <c r="Q95" s="204" t="str">
        <f t="shared" si="1"/>
        <v/>
      </c>
      <c r="R95" s="204" t="str">
        <f t="shared" si="2"/>
        <v/>
      </c>
    </row>
    <row r="96" spans="2:18" x14ac:dyDescent="0.25">
      <c r="B96" s="201" t="s">
        <v>367</v>
      </c>
      <c r="C96" s="168"/>
      <c r="D96" s="168"/>
      <c r="E96" s="174" t="s">
        <v>368</v>
      </c>
      <c r="F96" s="204">
        <v>1.1000000000000001</v>
      </c>
      <c r="H96" s="167" t="s">
        <v>35</v>
      </c>
      <c r="I96" s="168"/>
      <c r="J96" s="168"/>
      <c r="K96" s="167" t="s">
        <v>35</v>
      </c>
      <c r="L96" s="172" t="s">
        <v>35</v>
      </c>
      <c r="N96" s="167" t="str">
        <f t="shared" si="0"/>
        <v/>
      </c>
      <c r="O96" s="168"/>
      <c r="P96" s="169"/>
      <c r="Q96" s="204" t="str">
        <f t="shared" si="1"/>
        <v/>
      </c>
      <c r="R96" s="204" t="str">
        <f t="shared" si="2"/>
        <v/>
      </c>
    </row>
    <row r="97" spans="2:18" x14ac:dyDescent="0.25">
      <c r="B97" s="201" t="s">
        <v>367</v>
      </c>
      <c r="C97" s="168"/>
      <c r="D97" s="168"/>
      <c r="E97" s="174" t="s">
        <v>369</v>
      </c>
      <c r="F97" s="204">
        <v>0.6</v>
      </c>
      <c r="H97" s="167" t="s">
        <v>35</v>
      </c>
      <c r="I97" s="168"/>
      <c r="J97" s="168"/>
      <c r="K97" s="167" t="s">
        <v>35</v>
      </c>
      <c r="L97" s="172" t="s">
        <v>35</v>
      </c>
      <c r="N97" s="167" t="str">
        <f t="shared" si="0"/>
        <v/>
      </c>
      <c r="O97" s="168"/>
      <c r="P97" s="169"/>
      <c r="Q97" s="204" t="str">
        <f t="shared" si="1"/>
        <v/>
      </c>
      <c r="R97" s="204" t="str">
        <f t="shared" si="2"/>
        <v/>
      </c>
    </row>
    <row r="98" spans="2:18" x14ac:dyDescent="0.25">
      <c r="B98" s="167" t="s">
        <v>421</v>
      </c>
      <c r="C98" s="168"/>
      <c r="D98" s="168"/>
      <c r="E98" s="198" t="s">
        <v>438</v>
      </c>
      <c r="F98" s="204">
        <v>17.2</v>
      </c>
      <c r="H98" s="167" t="s">
        <v>35</v>
      </c>
      <c r="I98" s="168"/>
      <c r="J98" s="168"/>
      <c r="K98" s="167" t="s">
        <v>35</v>
      </c>
      <c r="L98" s="172" t="s">
        <v>35</v>
      </c>
      <c r="N98" s="167" t="str">
        <f t="shared" si="0"/>
        <v/>
      </c>
      <c r="O98" s="168"/>
      <c r="P98" s="169"/>
      <c r="Q98" s="204" t="str">
        <f t="shared" si="1"/>
        <v/>
      </c>
      <c r="R98" s="204" t="str">
        <f t="shared" si="2"/>
        <v/>
      </c>
    </row>
    <row r="99" spans="2:18" x14ac:dyDescent="0.25">
      <c r="B99" s="201" t="s">
        <v>422</v>
      </c>
      <c r="C99" s="168"/>
      <c r="D99" s="168"/>
      <c r="E99" s="198" t="s">
        <v>438</v>
      </c>
      <c r="F99" s="204">
        <v>5.2</v>
      </c>
      <c r="H99" s="167" t="s">
        <v>35</v>
      </c>
      <c r="I99" s="168"/>
      <c r="J99" s="168"/>
      <c r="K99" s="167" t="s">
        <v>35</v>
      </c>
      <c r="L99" s="172" t="s">
        <v>35</v>
      </c>
      <c r="N99" s="167" t="str">
        <f t="shared" si="0"/>
        <v/>
      </c>
      <c r="O99" s="168"/>
      <c r="P99" s="169"/>
      <c r="Q99" s="204" t="str">
        <f t="shared" si="1"/>
        <v/>
      </c>
      <c r="R99" s="204" t="str">
        <f t="shared" si="2"/>
        <v/>
      </c>
    </row>
    <row r="100" spans="2:18" x14ac:dyDescent="0.25">
      <c r="B100" s="201" t="s">
        <v>370</v>
      </c>
      <c r="C100" s="168"/>
      <c r="D100" s="168"/>
      <c r="E100" s="174" t="s">
        <v>371</v>
      </c>
      <c r="F100" s="204">
        <v>1.3</v>
      </c>
      <c r="H100" s="167" t="s">
        <v>35</v>
      </c>
      <c r="I100" s="168"/>
      <c r="J100" s="168"/>
      <c r="K100" s="167" t="s">
        <v>35</v>
      </c>
      <c r="L100" s="172" t="s">
        <v>35</v>
      </c>
      <c r="N100" s="167" t="str">
        <f t="shared" ref="N100:N155" si="3">+IF($S$7=2,B100,IF($S$7=3,H100,""))</f>
        <v/>
      </c>
      <c r="O100" s="168"/>
      <c r="P100" s="169"/>
      <c r="Q100" s="204" t="str">
        <f t="shared" ref="Q100:R155" si="4">+IF($S$7=2,E100,IF($S$7=3,K100,""))</f>
        <v/>
      </c>
      <c r="R100" s="204" t="str">
        <f t="shared" si="4"/>
        <v/>
      </c>
    </row>
    <row r="101" spans="2:18" x14ac:dyDescent="0.25">
      <c r="B101" s="201" t="s">
        <v>372</v>
      </c>
      <c r="C101" s="168"/>
      <c r="D101" s="168"/>
      <c r="E101" s="174" t="s">
        <v>371</v>
      </c>
      <c r="F101" s="204">
        <v>2.8</v>
      </c>
      <c r="H101" s="167" t="s">
        <v>35</v>
      </c>
      <c r="I101" s="168"/>
      <c r="J101" s="168"/>
      <c r="K101" s="167" t="s">
        <v>35</v>
      </c>
      <c r="L101" s="172" t="s">
        <v>35</v>
      </c>
      <c r="N101" s="167" t="str">
        <f t="shared" si="3"/>
        <v/>
      </c>
      <c r="O101" s="168"/>
      <c r="P101" s="169"/>
      <c r="Q101" s="204" t="str">
        <f t="shared" si="4"/>
        <v/>
      </c>
      <c r="R101" s="204" t="str">
        <f t="shared" si="4"/>
        <v/>
      </c>
    </row>
    <row r="102" spans="2:18" x14ac:dyDescent="0.25">
      <c r="B102" s="167" t="s">
        <v>373</v>
      </c>
      <c r="C102" s="168"/>
      <c r="D102" s="168"/>
      <c r="E102" s="174" t="s">
        <v>25</v>
      </c>
      <c r="F102" s="204">
        <v>1.4</v>
      </c>
      <c r="H102" s="167" t="s">
        <v>35</v>
      </c>
      <c r="I102" s="168"/>
      <c r="J102" s="168"/>
      <c r="K102" s="167" t="s">
        <v>35</v>
      </c>
      <c r="L102" s="172" t="s">
        <v>35</v>
      </c>
      <c r="N102" s="167" t="str">
        <f t="shared" si="3"/>
        <v/>
      </c>
      <c r="O102" s="168"/>
      <c r="P102" s="169"/>
      <c r="Q102" s="204" t="str">
        <f t="shared" si="4"/>
        <v/>
      </c>
      <c r="R102" s="204" t="str">
        <f t="shared" si="4"/>
        <v/>
      </c>
    </row>
    <row r="103" spans="2:18" x14ac:dyDescent="0.25">
      <c r="B103" s="201" t="s">
        <v>374</v>
      </c>
      <c r="C103" s="168"/>
      <c r="D103" s="168"/>
      <c r="E103" s="174" t="s">
        <v>25</v>
      </c>
      <c r="F103" s="204">
        <v>2.8</v>
      </c>
      <c r="H103" s="167" t="s">
        <v>35</v>
      </c>
      <c r="I103" s="168"/>
      <c r="J103" s="168"/>
      <c r="K103" s="167" t="s">
        <v>35</v>
      </c>
      <c r="L103" s="172" t="s">
        <v>35</v>
      </c>
      <c r="N103" s="167" t="str">
        <f t="shared" si="3"/>
        <v/>
      </c>
      <c r="O103" s="168"/>
      <c r="P103" s="169"/>
      <c r="Q103" s="204" t="str">
        <f t="shared" si="4"/>
        <v/>
      </c>
      <c r="R103" s="204" t="str">
        <f t="shared" si="4"/>
        <v/>
      </c>
    </row>
    <row r="104" spans="2:18" x14ac:dyDescent="0.25">
      <c r="B104" s="167" t="s">
        <v>375</v>
      </c>
      <c r="C104" s="168"/>
      <c r="D104" s="168"/>
      <c r="E104" s="174" t="s">
        <v>376</v>
      </c>
      <c r="F104" s="204">
        <v>0.9</v>
      </c>
      <c r="H104" s="167" t="s">
        <v>35</v>
      </c>
      <c r="I104" s="168"/>
      <c r="J104" s="168"/>
      <c r="K104" s="167" t="s">
        <v>35</v>
      </c>
      <c r="L104" s="172" t="s">
        <v>35</v>
      </c>
      <c r="N104" s="167" t="str">
        <f t="shared" si="3"/>
        <v/>
      </c>
      <c r="O104" s="168"/>
      <c r="P104" s="169"/>
      <c r="Q104" s="204" t="str">
        <f t="shared" si="4"/>
        <v/>
      </c>
      <c r="R104" s="204" t="str">
        <f t="shared" si="4"/>
        <v/>
      </c>
    </row>
    <row r="105" spans="2:18" x14ac:dyDescent="0.25">
      <c r="B105" s="205" t="s">
        <v>423</v>
      </c>
      <c r="C105" s="168"/>
      <c r="D105" s="168"/>
      <c r="E105" s="174" t="s">
        <v>366</v>
      </c>
      <c r="F105" s="204">
        <v>1.7</v>
      </c>
      <c r="H105" s="167" t="s">
        <v>35</v>
      </c>
      <c r="I105" s="168"/>
      <c r="J105" s="168"/>
      <c r="K105" s="167" t="s">
        <v>35</v>
      </c>
      <c r="L105" s="172" t="s">
        <v>35</v>
      </c>
      <c r="N105" s="167" t="str">
        <f t="shared" si="3"/>
        <v/>
      </c>
      <c r="O105" s="168"/>
      <c r="P105" s="169"/>
      <c r="Q105" s="204" t="str">
        <f t="shared" si="4"/>
        <v/>
      </c>
      <c r="R105" s="204" t="str">
        <f t="shared" si="4"/>
        <v/>
      </c>
    </row>
    <row r="106" spans="2:18" x14ac:dyDescent="0.25">
      <c r="B106" s="201" t="s">
        <v>147</v>
      </c>
      <c r="C106" s="168"/>
      <c r="D106" s="168"/>
      <c r="E106" s="174" t="s">
        <v>25</v>
      </c>
      <c r="F106" s="204">
        <v>2.8</v>
      </c>
      <c r="H106" s="167" t="s">
        <v>35</v>
      </c>
      <c r="I106" s="168"/>
      <c r="J106" s="168"/>
      <c r="K106" s="167" t="s">
        <v>35</v>
      </c>
      <c r="L106" s="172" t="s">
        <v>35</v>
      </c>
      <c r="N106" s="167" t="str">
        <f t="shared" si="3"/>
        <v/>
      </c>
      <c r="O106" s="168"/>
      <c r="P106" s="169"/>
      <c r="Q106" s="204" t="str">
        <f t="shared" si="4"/>
        <v/>
      </c>
      <c r="R106" s="204" t="str">
        <f t="shared" si="4"/>
        <v/>
      </c>
    </row>
    <row r="107" spans="2:18" x14ac:dyDescent="0.25">
      <c r="B107" s="201" t="s">
        <v>413</v>
      </c>
      <c r="C107" s="168"/>
      <c r="D107" s="168"/>
      <c r="E107" s="198" t="s">
        <v>438</v>
      </c>
      <c r="F107" s="204">
        <v>6.9</v>
      </c>
      <c r="H107" s="167" t="s">
        <v>35</v>
      </c>
      <c r="I107" s="168"/>
      <c r="J107" s="168"/>
      <c r="K107" s="167" t="s">
        <v>35</v>
      </c>
      <c r="L107" s="172" t="s">
        <v>35</v>
      </c>
      <c r="N107" s="167" t="str">
        <f t="shared" si="3"/>
        <v/>
      </c>
      <c r="O107" s="168"/>
      <c r="P107" s="169"/>
      <c r="Q107" s="204" t="str">
        <f t="shared" si="4"/>
        <v/>
      </c>
      <c r="R107" s="204" t="str">
        <f t="shared" si="4"/>
        <v/>
      </c>
    </row>
    <row r="108" spans="2:18" x14ac:dyDescent="0.25">
      <c r="B108" s="167" t="s">
        <v>377</v>
      </c>
      <c r="C108" s="168"/>
      <c r="D108" s="168"/>
      <c r="E108" s="174" t="s">
        <v>25</v>
      </c>
      <c r="F108" s="204">
        <v>1.7</v>
      </c>
      <c r="H108" s="167" t="s">
        <v>35</v>
      </c>
      <c r="I108" s="168"/>
      <c r="J108" s="168"/>
      <c r="K108" s="167" t="s">
        <v>35</v>
      </c>
      <c r="L108" s="172" t="s">
        <v>35</v>
      </c>
      <c r="N108" s="167" t="str">
        <f t="shared" si="3"/>
        <v/>
      </c>
      <c r="O108" s="168"/>
      <c r="P108" s="169"/>
      <c r="Q108" s="204" t="str">
        <f t="shared" si="4"/>
        <v/>
      </c>
      <c r="R108" s="204" t="str">
        <f t="shared" si="4"/>
        <v/>
      </c>
    </row>
    <row r="109" spans="2:18" x14ac:dyDescent="0.25">
      <c r="B109" s="167" t="s">
        <v>27</v>
      </c>
      <c r="C109" s="168"/>
      <c r="D109" s="168"/>
      <c r="E109" s="174" t="s">
        <v>376</v>
      </c>
      <c r="F109" s="204">
        <v>0.8</v>
      </c>
      <c r="H109" s="167" t="s">
        <v>35</v>
      </c>
      <c r="I109" s="168"/>
      <c r="J109" s="168"/>
      <c r="K109" s="167" t="s">
        <v>35</v>
      </c>
      <c r="L109" s="172" t="s">
        <v>35</v>
      </c>
      <c r="N109" s="167" t="str">
        <f t="shared" si="3"/>
        <v/>
      </c>
      <c r="O109" s="168"/>
      <c r="P109" s="169"/>
      <c r="Q109" s="204" t="str">
        <f t="shared" si="4"/>
        <v/>
      </c>
      <c r="R109" s="204" t="str">
        <f t="shared" si="4"/>
        <v/>
      </c>
    </row>
    <row r="110" spans="2:18" x14ac:dyDescent="0.25">
      <c r="B110" s="205" t="s">
        <v>424</v>
      </c>
      <c r="C110" s="168"/>
      <c r="D110" s="168"/>
      <c r="E110" s="198" t="s">
        <v>438</v>
      </c>
      <c r="F110" s="204">
        <v>6.9</v>
      </c>
      <c r="H110" s="167" t="s">
        <v>35</v>
      </c>
      <c r="I110" s="168"/>
      <c r="J110" s="168"/>
      <c r="K110" s="167" t="s">
        <v>35</v>
      </c>
      <c r="L110" s="172" t="s">
        <v>35</v>
      </c>
      <c r="N110" s="167" t="str">
        <f t="shared" si="3"/>
        <v/>
      </c>
      <c r="O110" s="168"/>
      <c r="P110" s="169"/>
      <c r="Q110" s="204" t="str">
        <f t="shared" si="4"/>
        <v/>
      </c>
      <c r="R110" s="204" t="str">
        <f t="shared" si="4"/>
        <v/>
      </c>
    </row>
    <row r="111" spans="2:18" x14ac:dyDescent="0.25">
      <c r="B111" s="201" t="s">
        <v>253</v>
      </c>
      <c r="C111" s="168"/>
      <c r="D111" s="168"/>
      <c r="E111" s="198" t="s">
        <v>438</v>
      </c>
      <c r="F111" s="204">
        <v>17.2</v>
      </c>
      <c r="H111" s="167" t="s">
        <v>35</v>
      </c>
      <c r="I111" s="168"/>
      <c r="J111" s="168"/>
      <c r="K111" s="167" t="s">
        <v>35</v>
      </c>
      <c r="L111" s="172" t="s">
        <v>35</v>
      </c>
      <c r="N111" s="167" t="str">
        <f t="shared" si="3"/>
        <v/>
      </c>
      <c r="O111" s="168"/>
      <c r="P111" s="169"/>
      <c r="Q111" s="204" t="str">
        <f t="shared" si="4"/>
        <v/>
      </c>
      <c r="R111" s="204" t="str">
        <f t="shared" si="4"/>
        <v/>
      </c>
    </row>
    <row r="112" spans="2:18" x14ac:dyDescent="0.25">
      <c r="B112" s="201" t="s">
        <v>414</v>
      </c>
      <c r="C112" s="168"/>
      <c r="D112" s="168"/>
      <c r="E112" s="396" t="s">
        <v>420</v>
      </c>
      <c r="F112" s="396">
        <v>1.7</v>
      </c>
      <c r="H112" s="167" t="s">
        <v>35</v>
      </c>
      <c r="I112" s="168"/>
      <c r="J112" s="168"/>
      <c r="K112" s="167" t="s">
        <v>35</v>
      </c>
      <c r="L112" s="172" t="s">
        <v>35</v>
      </c>
      <c r="N112" s="167" t="str">
        <f t="shared" si="3"/>
        <v/>
      </c>
      <c r="O112" s="168"/>
      <c r="P112" s="169"/>
      <c r="Q112" s="204" t="str">
        <f t="shared" si="4"/>
        <v/>
      </c>
      <c r="R112" s="204" t="str">
        <f t="shared" si="4"/>
        <v/>
      </c>
    </row>
    <row r="113" spans="2:18" x14ac:dyDescent="0.25">
      <c r="B113" s="167" t="s">
        <v>378</v>
      </c>
      <c r="C113" s="168"/>
      <c r="D113" s="168"/>
      <c r="E113" s="198" t="s">
        <v>438</v>
      </c>
      <c r="F113" s="204">
        <v>4.3</v>
      </c>
      <c r="H113" s="167" t="s">
        <v>35</v>
      </c>
      <c r="I113" s="168"/>
      <c r="J113" s="168"/>
      <c r="K113" s="167" t="s">
        <v>35</v>
      </c>
      <c r="L113" s="172" t="s">
        <v>35</v>
      </c>
      <c r="N113" s="167" t="str">
        <f t="shared" si="3"/>
        <v/>
      </c>
      <c r="O113" s="168"/>
      <c r="P113" s="169"/>
      <c r="Q113" s="204" t="str">
        <f t="shared" si="4"/>
        <v/>
      </c>
      <c r="R113" s="204" t="str">
        <f t="shared" si="4"/>
        <v/>
      </c>
    </row>
    <row r="114" spans="2:18" x14ac:dyDescent="0.25">
      <c r="B114" s="167" t="s">
        <v>26</v>
      </c>
      <c r="C114" s="168"/>
      <c r="D114" s="168"/>
      <c r="E114" s="198" t="s">
        <v>438</v>
      </c>
      <c r="F114" s="204">
        <v>2.2000000000000002</v>
      </c>
      <c r="H114" s="167" t="s">
        <v>35</v>
      </c>
      <c r="I114" s="168"/>
      <c r="J114" s="168"/>
      <c r="K114" s="167" t="s">
        <v>35</v>
      </c>
      <c r="L114" s="172" t="s">
        <v>35</v>
      </c>
      <c r="N114" s="167" t="str">
        <f t="shared" si="3"/>
        <v/>
      </c>
      <c r="O114" s="168"/>
      <c r="P114" s="169"/>
      <c r="Q114" s="204" t="str">
        <f t="shared" si="4"/>
        <v/>
      </c>
      <c r="R114" s="204" t="str">
        <f t="shared" si="4"/>
        <v/>
      </c>
    </row>
    <row r="115" spans="2:18" x14ac:dyDescent="0.25">
      <c r="B115" s="205" t="s">
        <v>425</v>
      </c>
      <c r="C115" s="168"/>
      <c r="D115" s="168"/>
      <c r="E115" s="198" t="s">
        <v>438</v>
      </c>
      <c r="F115" s="204">
        <v>17.2</v>
      </c>
      <c r="H115" s="167" t="s">
        <v>35</v>
      </c>
      <c r="I115" s="168"/>
      <c r="J115" s="168"/>
      <c r="K115" s="167" t="s">
        <v>35</v>
      </c>
      <c r="L115" s="172" t="s">
        <v>35</v>
      </c>
      <c r="N115" s="167" t="str">
        <f t="shared" si="3"/>
        <v/>
      </c>
      <c r="O115" s="168"/>
      <c r="P115" s="169"/>
      <c r="Q115" s="204" t="str">
        <f t="shared" si="4"/>
        <v/>
      </c>
      <c r="R115" s="204" t="str">
        <f t="shared" si="4"/>
        <v/>
      </c>
    </row>
    <row r="116" spans="2:18" x14ac:dyDescent="0.25">
      <c r="B116" s="201" t="s">
        <v>415</v>
      </c>
      <c r="C116" s="168"/>
      <c r="D116" s="168"/>
      <c r="E116" s="174" t="s">
        <v>25</v>
      </c>
      <c r="F116" s="204">
        <v>6.9</v>
      </c>
      <c r="H116" s="167" t="s">
        <v>35</v>
      </c>
      <c r="I116" s="168"/>
      <c r="J116" s="168"/>
      <c r="K116" s="167" t="s">
        <v>35</v>
      </c>
      <c r="L116" s="172" t="s">
        <v>35</v>
      </c>
      <c r="N116" s="167" t="str">
        <f t="shared" si="3"/>
        <v/>
      </c>
      <c r="O116" s="168"/>
      <c r="P116" s="169"/>
      <c r="Q116" s="204" t="str">
        <f t="shared" si="4"/>
        <v/>
      </c>
      <c r="R116" s="204" t="str">
        <f t="shared" si="4"/>
        <v/>
      </c>
    </row>
    <row r="117" spans="2:18" x14ac:dyDescent="0.25">
      <c r="B117" s="167" t="s">
        <v>379</v>
      </c>
      <c r="C117" s="168"/>
      <c r="D117" s="168"/>
      <c r="E117" s="174" t="s">
        <v>366</v>
      </c>
      <c r="F117" s="204">
        <v>0.9</v>
      </c>
      <c r="H117" s="167" t="s">
        <v>35</v>
      </c>
      <c r="I117" s="168"/>
      <c r="J117" s="168"/>
      <c r="K117" s="167" t="s">
        <v>35</v>
      </c>
      <c r="L117" s="172" t="s">
        <v>35</v>
      </c>
      <c r="N117" s="167" t="str">
        <f t="shared" si="3"/>
        <v/>
      </c>
      <c r="O117" s="168"/>
      <c r="P117" s="169"/>
      <c r="Q117" s="204" t="str">
        <f t="shared" si="4"/>
        <v/>
      </c>
      <c r="R117" s="204" t="str">
        <f t="shared" si="4"/>
        <v/>
      </c>
    </row>
    <row r="118" spans="2:18" x14ac:dyDescent="0.25">
      <c r="B118" s="167" t="s">
        <v>380</v>
      </c>
      <c r="C118" s="168"/>
      <c r="D118" s="168"/>
      <c r="E118" s="198" t="s">
        <v>438</v>
      </c>
      <c r="F118" s="204">
        <v>17.2</v>
      </c>
      <c r="H118" s="167" t="s">
        <v>35</v>
      </c>
      <c r="I118" s="168"/>
      <c r="J118" s="168"/>
      <c r="K118" s="167" t="s">
        <v>35</v>
      </c>
      <c r="L118" s="172" t="s">
        <v>35</v>
      </c>
      <c r="N118" s="167" t="str">
        <f t="shared" si="3"/>
        <v/>
      </c>
      <c r="O118" s="168"/>
      <c r="P118" s="169"/>
      <c r="Q118" s="204" t="str">
        <f t="shared" si="4"/>
        <v/>
      </c>
      <c r="R118" s="204" t="str">
        <f t="shared" si="4"/>
        <v/>
      </c>
    </row>
    <row r="119" spans="2:18" x14ac:dyDescent="0.25">
      <c r="B119" s="167" t="s">
        <v>381</v>
      </c>
      <c r="C119" s="168"/>
      <c r="D119" s="168"/>
      <c r="E119" s="174" t="s">
        <v>382</v>
      </c>
      <c r="F119" s="204">
        <v>12.9</v>
      </c>
      <c r="H119" s="167" t="s">
        <v>35</v>
      </c>
      <c r="I119" s="168"/>
      <c r="J119" s="168"/>
      <c r="K119" s="167" t="s">
        <v>35</v>
      </c>
      <c r="L119" s="172" t="s">
        <v>35</v>
      </c>
      <c r="N119" s="167" t="str">
        <f t="shared" si="3"/>
        <v/>
      </c>
      <c r="O119" s="168"/>
      <c r="P119" s="169"/>
      <c r="Q119" s="204" t="str">
        <f t="shared" si="4"/>
        <v/>
      </c>
      <c r="R119" s="204" t="str">
        <f t="shared" si="4"/>
        <v/>
      </c>
    </row>
    <row r="120" spans="2:18" x14ac:dyDescent="0.25">
      <c r="B120" s="201" t="s">
        <v>383</v>
      </c>
      <c r="C120" s="168"/>
      <c r="D120" s="168"/>
      <c r="E120" s="174" t="s">
        <v>384</v>
      </c>
      <c r="F120" s="204">
        <v>0.6</v>
      </c>
      <c r="H120" s="167" t="s">
        <v>35</v>
      </c>
      <c r="I120" s="168"/>
      <c r="J120" s="168"/>
      <c r="K120" s="167" t="s">
        <v>35</v>
      </c>
      <c r="L120" s="172" t="s">
        <v>35</v>
      </c>
      <c r="N120" s="167" t="str">
        <f t="shared" si="3"/>
        <v/>
      </c>
      <c r="O120" s="168"/>
      <c r="P120" s="169"/>
      <c r="Q120" s="204" t="str">
        <f t="shared" si="4"/>
        <v/>
      </c>
      <c r="R120" s="204" t="str">
        <f t="shared" si="4"/>
        <v/>
      </c>
    </row>
    <row r="121" spans="2:18" x14ac:dyDescent="0.25">
      <c r="B121" s="201" t="s">
        <v>385</v>
      </c>
      <c r="C121" s="168"/>
      <c r="D121" s="168"/>
      <c r="E121" s="198" t="s">
        <v>439</v>
      </c>
      <c r="F121" s="204">
        <v>28</v>
      </c>
      <c r="H121" s="167" t="s">
        <v>35</v>
      </c>
      <c r="I121" s="168"/>
      <c r="J121" s="168"/>
      <c r="K121" s="167" t="s">
        <v>35</v>
      </c>
      <c r="L121" s="172" t="s">
        <v>35</v>
      </c>
      <c r="N121" s="167" t="str">
        <f t="shared" si="3"/>
        <v/>
      </c>
      <c r="O121" s="168"/>
      <c r="P121" s="169"/>
      <c r="Q121" s="204" t="str">
        <f t="shared" si="4"/>
        <v/>
      </c>
      <c r="R121" s="204" t="str">
        <f t="shared" si="4"/>
        <v/>
      </c>
    </row>
    <row r="122" spans="2:18" x14ac:dyDescent="0.25">
      <c r="B122" s="201" t="s">
        <v>386</v>
      </c>
      <c r="C122" s="168"/>
      <c r="D122" s="168"/>
      <c r="E122" s="198" t="s">
        <v>438</v>
      </c>
      <c r="F122" s="204">
        <v>17.2</v>
      </c>
      <c r="H122" s="167" t="s">
        <v>35</v>
      </c>
      <c r="I122" s="168"/>
      <c r="J122" s="168"/>
      <c r="K122" s="167" t="s">
        <v>35</v>
      </c>
      <c r="L122" s="172" t="s">
        <v>35</v>
      </c>
      <c r="N122" s="167" t="str">
        <f t="shared" si="3"/>
        <v/>
      </c>
      <c r="O122" s="168"/>
      <c r="P122" s="169"/>
      <c r="Q122" s="204" t="str">
        <f t="shared" si="4"/>
        <v/>
      </c>
      <c r="R122" s="204" t="str">
        <f t="shared" si="4"/>
        <v/>
      </c>
    </row>
    <row r="123" spans="2:18" x14ac:dyDescent="0.25">
      <c r="B123" s="167" t="s">
        <v>416</v>
      </c>
      <c r="C123" s="168"/>
      <c r="D123" s="168"/>
      <c r="E123" s="198" t="s">
        <v>438</v>
      </c>
      <c r="F123" s="204">
        <v>2.2000000000000002</v>
      </c>
      <c r="H123" s="167" t="s">
        <v>35</v>
      </c>
      <c r="I123" s="168"/>
      <c r="J123" s="168"/>
      <c r="K123" s="167" t="s">
        <v>35</v>
      </c>
      <c r="L123" s="172" t="s">
        <v>35</v>
      </c>
      <c r="N123" s="167" t="str">
        <f t="shared" si="3"/>
        <v/>
      </c>
      <c r="O123" s="168"/>
      <c r="P123" s="169"/>
      <c r="Q123" s="204" t="str">
        <f t="shared" si="4"/>
        <v/>
      </c>
      <c r="R123" s="204" t="str">
        <f t="shared" si="4"/>
        <v/>
      </c>
    </row>
    <row r="124" spans="2:18" x14ac:dyDescent="0.25">
      <c r="B124" s="167" t="s">
        <v>387</v>
      </c>
      <c r="C124" s="168"/>
      <c r="D124" s="168"/>
      <c r="E124" s="198" t="s">
        <v>438</v>
      </c>
      <c r="F124" s="204">
        <v>4.3</v>
      </c>
      <c r="H124" s="167" t="s">
        <v>35</v>
      </c>
      <c r="I124" s="168"/>
      <c r="J124" s="168"/>
      <c r="K124" s="167" t="s">
        <v>35</v>
      </c>
      <c r="L124" s="172" t="s">
        <v>35</v>
      </c>
      <c r="N124" s="167" t="str">
        <f t="shared" si="3"/>
        <v/>
      </c>
      <c r="O124" s="168"/>
      <c r="P124" s="169"/>
      <c r="Q124" s="204" t="str">
        <f t="shared" si="4"/>
        <v/>
      </c>
      <c r="R124" s="204" t="str">
        <f t="shared" si="4"/>
        <v/>
      </c>
    </row>
    <row r="125" spans="2:18" x14ac:dyDescent="0.25">
      <c r="B125" s="167" t="s">
        <v>252</v>
      </c>
      <c r="C125" s="168"/>
      <c r="D125" s="168"/>
      <c r="E125" s="198" t="s">
        <v>438</v>
      </c>
      <c r="F125" s="204">
        <v>8.6</v>
      </c>
      <c r="H125" s="167" t="s">
        <v>35</v>
      </c>
      <c r="I125" s="168"/>
      <c r="J125" s="168"/>
      <c r="K125" s="167" t="s">
        <v>35</v>
      </c>
      <c r="L125" s="172" t="s">
        <v>35</v>
      </c>
      <c r="N125" s="167" t="str">
        <f t="shared" si="3"/>
        <v/>
      </c>
      <c r="O125" s="168"/>
      <c r="P125" s="169"/>
      <c r="Q125" s="204" t="str">
        <f t="shared" si="4"/>
        <v/>
      </c>
      <c r="R125" s="204" t="str">
        <f t="shared" si="4"/>
        <v/>
      </c>
    </row>
    <row r="126" spans="2:18" x14ac:dyDescent="0.25">
      <c r="B126" s="167" t="s">
        <v>388</v>
      </c>
      <c r="C126" s="168"/>
      <c r="D126" s="168"/>
      <c r="E126" s="174" t="s">
        <v>389</v>
      </c>
      <c r="F126" s="204">
        <v>5.6</v>
      </c>
      <c r="H126" s="167" t="s">
        <v>35</v>
      </c>
      <c r="I126" s="168"/>
      <c r="J126" s="168"/>
      <c r="K126" s="167" t="s">
        <v>35</v>
      </c>
      <c r="L126" s="172" t="s">
        <v>35</v>
      </c>
      <c r="N126" s="167" t="str">
        <f t="shared" si="3"/>
        <v/>
      </c>
      <c r="O126" s="168"/>
      <c r="P126" s="169"/>
      <c r="Q126" s="204" t="str">
        <f t="shared" si="4"/>
        <v/>
      </c>
      <c r="R126" s="204" t="str">
        <f t="shared" si="4"/>
        <v/>
      </c>
    </row>
    <row r="127" spans="2:18" x14ac:dyDescent="0.25">
      <c r="B127" s="167" t="s">
        <v>23</v>
      </c>
      <c r="C127" s="168"/>
      <c r="D127" s="168"/>
      <c r="E127" s="198" t="s">
        <v>438</v>
      </c>
      <c r="F127" s="204">
        <v>17.2</v>
      </c>
      <c r="H127" s="167" t="s">
        <v>35</v>
      </c>
      <c r="I127" s="168"/>
      <c r="J127" s="168"/>
      <c r="K127" s="167" t="s">
        <v>35</v>
      </c>
      <c r="L127" s="172" t="s">
        <v>35</v>
      </c>
      <c r="N127" s="167" t="str">
        <f t="shared" si="3"/>
        <v/>
      </c>
      <c r="O127" s="168"/>
      <c r="P127" s="169"/>
      <c r="Q127" s="204" t="str">
        <f t="shared" si="4"/>
        <v/>
      </c>
      <c r="R127" s="204" t="str">
        <f t="shared" si="4"/>
        <v/>
      </c>
    </row>
    <row r="128" spans="2:18" x14ac:dyDescent="0.25">
      <c r="B128" s="167" t="s">
        <v>24</v>
      </c>
      <c r="C128" s="168"/>
      <c r="D128" s="168"/>
      <c r="E128" s="174" t="s">
        <v>368</v>
      </c>
      <c r="F128" s="204">
        <v>1.1000000000000001</v>
      </c>
      <c r="H128" s="167" t="s">
        <v>35</v>
      </c>
      <c r="I128" s="168"/>
      <c r="J128" s="168"/>
      <c r="K128" s="167" t="s">
        <v>35</v>
      </c>
      <c r="L128" s="172" t="s">
        <v>35</v>
      </c>
      <c r="N128" s="167" t="str">
        <f t="shared" si="3"/>
        <v/>
      </c>
      <c r="O128" s="168"/>
      <c r="P128" s="169"/>
      <c r="Q128" s="204" t="str">
        <f t="shared" si="4"/>
        <v/>
      </c>
      <c r="R128" s="204" t="str">
        <f t="shared" si="4"/>
        <v/>
      </c>
    </row>
    <row r="129" spans="2:18" x14ac:dyDescent="0.25">
      <c r="B129" s="167" t="s">
        <v>390</v>
      </c>
      <c r="C129" s="168"/>
      <c r="D129" s="168"/>
      <c r="E129" s="174" t="s">
        <v>25</v>
      </c>
      <c r="F129" s="204">
        <v>1.4</v>
      </c>
      <c r="H129" s="167" t="s">
        <v>35</v>
      </c>
      <c r="I129" s="168"/>
      <c r="J129" s="168"/>
      <c r="K129" s="167" t="s">
        <v>35</v>
      </c>
      <c r="L129" s="172" t="s">
        <v>35</v>
      </c>
      <c r="N129" s="167" t="str">
        <f t="shared" si="3"/>
        <v/>
      </c>
      <c r="O129" s="168"/>
      <c r="P129" s="169"/>
      <c r="Q129" s="204" t="str">
        <f t="shared" si="4"/>
        <v/>
      </c>
      <c r="R129" s="204" t="str">
        <f t="shared" si="4"/>
        <v/>
      </c>
    </row>
    <row r="130" spans="2:18" x14ac:dyDescent="0.25">
      <c r="B130" s="201" t="s">
        <v>391</v>
      </c>
      <c r="C130" s="168"/>
      <c r="D130" s="168"/>
      <c r="E130" s="174" t="s">
        <v>25</v>
      </c>
      <c r="F130" s="204">
        <v>1.8</v>
      </c>
      <c r="H130" s="167" t="s">
        <v>35</v>
      </c>
      <c r="I130" s="168"/>
      <c r="J130" s="168"/>
      <c r="K130" s="167" t="s">
        <v>35</v>
      </c>
      <c r="L130" s="172" t="s">
        <v>35</v>
      </c>
      <c r="N130" s="167" t="str">
        <f t="shared" si="3"/>
        <v/>
      </c>
      <c r="O130" s="168"/>
      <c r="P130" s="169"/>
      <c r="Q130" s="204" t="str">
        <f t="shared" si="4"/>
        <v/>
      </c>
      <c r="R130" s="204" t="str">
        <f t="shared" si="4"/>
        <v/>
      </c>
    </row>
    <row r="131" spans="2:18" x14ac:dyDescent="0.25">
      <c r="B131" s="167" t="s">
        <v>392</v>
      </c>
      <c r="C131" s="168"/>
      <c r="D131" s="168"/>
      <c r="E131" s="198" t="s">
        <v>439</v>
      </c>
      <c r="F131" s="204">
        <v>3.6</v>
      </c>
      <c r="H131" s="167" t="s">
        <v>35</v>
      </c>
      <c r="I131" s="168"/>
      <c r="J131" s="168"/>
      <c r="K131" s="167" t="s">
        <v>35</v>
      </c>
      <c r="L131" s="172" t="s">
        <v>35</v>
      </c>
      <c r="N131" s="167" t="str">
        <f t="shared" si="3"/>
        <v/>
      </c>
      <c r="O131" s="168"/>
      <c r="P131" s="169"/>
      <c r="Q131" s="204" t="str">
        <f t="shared" si="4"/>
        <v/>
      </c>
      <c r="R131" s="204" t="str">
        <f t="shared" si="4"/>
        <v/>
      </c>
    </row>
    <row r="132" spans="2:18" x14ac:dyDescent="0.25">
      <c r="B132" s="167" t="s">
        <v>393</v>
      </c>
      <c r="C132" s="168"/>
      <c r="D132" s="168"/>
      <c r="E132" s="174" t="s">
        <v>382</v>
      </c>
      <c r="F132" s="204">
        <v>14</v>
      </c>
      <c r="H132" s="167" t="s">
        <v>35</v>
      </c>
      <c r="I132" s="168"/>
      <c r="J132" s="168"/>
      <c r="K132" s="167" t="s">
        <v>35</v>
      </c>
      <c r="L132" s="172" t="s">
        <v>35</v>
      </c>
      <c r="N132" s="167" t="str">
        <f t="shared" si="3"/>
        <v/>
      </c>
      <c r="O132" s="168"/>
      <c r="P132" s="169"/>
      <c r="Q132" s="204" t="str">
        <f t="shared" si="4"/>
        <v/>
      </c>
      <c r="R132" s="204" t="str">
        <f t="shared" si="4"/>
        <v/>
      </c>
    </row>
    <row r="133" spans="2:18" x14ac:dyDescent="0.25">
      <c r="B133" s="201" t="s">
        <v>394</v>
      </c>
      <c r="C133" s="168"/>
      <c r="D133" s="168"/>
      <c r="E133" s="174" t="s">
        <v>395</v>
      </c>
      <c r="F133" s="204">
        <v>12.9</v>
      </c>
      <c r="H133" s="167" t="s">
        <v>35</v>
      </c>
      <c r="I133" s="168"/>
      <c r="J133" s="168"/>
      <c r="K133" s="167" t="s">
        <v>35</v>
      </c>
      <c r="L133" s="172" t="s">
        <v>35</v>
      </c>
      <c r="N133" s="167" t="str">
        <f t="shared" si="3"/>
        <v/>
      </c>
      <c r="O133" s="168"/>
      <c r="P133" s="169"/>
      <c r="Q133" s="204" t="str">
        <f t="shared" si="4"/>
        <v/>
      </c>
      <c r="R133" s="204" t="str">
        <f t="shared" si="4"/>
        <v/>
      </c>
    </row>
    <row r="134" spans="2:18" x14ac:dyDescent="0.25">
      <c r="B134" s="201" t="s">
        <v>396</v>
      </c>
      <c r="C134" s="168"/>
      <c r="D134" s="168"/>
      <c r="E134" s="198" t="s">
        <v>438</v>
      </c>
      <c r="F134" s="204">
        <v>3.2</v>
      </c>
      <c r="H134" s="167" t="s">
        <v>35</v>
      </c>
      <c r="I134" s="168"/>
      <c r="J134" s="168"/>
      <c r="K134" s="167" t="s">
        <v>35</v>
      </c>
      <c r="L134" s="172" t="s">
        <v>35</v>
      </c>
      <c r="N134" s="167" t="str">
        <f t="shared" si="3"/>
        <v/>
      </c>
      <c r="O134" s="168"/>
      <c r="P134" s="169"/>
      <c r="Q134" s="204" t="str">
        <f t="shared" si="4"/>
        <v/>
      </c>
      <c r="R134" s="204" t="str">
        <f t="shared" si="4"/>
        <v/>
      </c>
    </row>
    <row r="135" spans="2:18" x14ac:dyDescent="0.25">
      <c r="B135" s="201" t="s">
        <v>397</v>
      </c>
      <c r="C135" s="168"/>
      <c r="D135" s="168"/>
      <c r="E135" s="174" t="s">
        <v>398</v>
      </c>
      <c r="F135" s="204">
        <v>3.2</v>
      </c>
      <c r="H135" s="167" t="s">
        <v>35</v>
      </c>
      <c r="I135" s="168"/>
      <c r="J135" s="168"/>
      <c r="K135" s="167" t="s">
        <v>35</v>
      </c>
      <c r="L135" s="172" t="s">
        <v>35</v>
      </c>
      <c r="N135" s="167" t="str">
        <f t="shared" si="3"/>
        <v/>
      </c>
      <c r="O135" s="168"/>
      <c r="P135" s="169"/>
      <c r="Q135" s="204" t="str">
        <f t="shared" si="4"/>
        <v/>
      </c>
      <c r="R135" s="204" t="str">
        <f t="shared" si="4"/>
        <v/>
      </c>
    </row>
    <row r="136" spans="2:18" x14ac:dyDescent="0.25">
      <c r="B136" s="201" t="s">
        <v>399</v>
      </c>
      <c r="C136" s="168"/>
      <c r="D136" s="168"/>
      <c r="E136" s="198" t="s">
        <v>438</v>
      </c>
      <c r="F136" s="204">
        <v>17.2</v>
      </c>
      <c r="H136" s="167" t="s">
        <v>35</v>
      </c>
      <c r="I136" s="168"/>
      <c r="J136" s="168"/>
      <c r="K136" s="167" t="s">
        <v>35</v>
      </c>
      <c r="L136" s="172" t="s">
        <v>35</v>
      </c>
      <c r="N136" s="167" t="str">
        <f t="shared" si="3"/>
        <v/>
      </c>
      <c r="O136" s="168"/>
      <c r="P136" s="169"/>
      <c r="Q136" s="204" t="str">
        <f t="shared" si="4"/>
        <v/>
      </c>
      <c r="R136" s="204" t="str">
        <f t="shared" si="4"/>
        <v/>
      </c>
    </row>
    <row r="137" spans="2:18" x14ac:dyDescent="0.25">
      <c r="B137" s="201" t="s">
        <v>202</v>
      </c>
      <c r="C137" s="168"/>
      <c r="D137" s="168"/>
      <c r="E137" s="198" t="s">
        <v>438</v>
      </c>
      <c r="F137" s="204">
        <v>1.6</v>
      </c>
      <c r="H137" s="167" t="s">
        <v>35</v>
      </c>
      <c r="I137" s="168"/>
      <c r="J137" s="168"/>
      <c r="K137" s="167" t="s">
        <v>35</v>
      </c>
      <c r="L137" s="172" t="s">
        <v>35</v>
      </c>
      <c r="N137" s="167" t="str">
        <f t="shared" si="3"/>
        <v/>
      </c>
      <c r="O137" s="168"/>
      <c r="P137" s="169"/>
      <c r="Q137" s="204" t="str">
        <f t="shared" si="4"/>
        <v/>
      </c>
      <c r="R137" s="204" t="str">
        <f t="shared" si="4"/>
        <v/>
      </c>
    </row>
    <row r="138" spans="2:18" x14ac:dyDescent="0.25">
      <c r="B138" s="167" t="s">
        <v>426</v>
      </c>
      <c r="C138" s="168"/>
      <c r="D138" s="168"/>
      <c r="E138" s="198" t="s">
        <v>438</v>
      </c>
      <c r="F138" s="204">
        <v>17.2</v>
      </c>
      <c r="H138" s="167" t="s">
        <v>35</v>
      </c>
      <c r="I138" s="168"/>
      <c r="J138" s="168"/>
      <c r="K138" s="167" t="s">
        <v>35</v>
      </c>
      <c r="L138" s="172" t="s">
        <v>35</v>
      </c>
      <c r="N138" s="167" t="str">
        <f t="shared" si="3"/>
        <v/>
      </c>
      <c r="O138" s="168"/>
      <c r="P138" s="169"/>
      <c r="Q138" s="204" t="str">
        <f t="shared" si="4"/>
        <v/>
      </c>
      <c r="R138" s="204" t="str">
        <f t="shared" si="4"/>
        <v/>
      </c>
    </row>
    <row r="139" spans="2:18" x14ac:dyDescent="0.25">
      <c r="B139" s="167" t="s">
        <v>22</v>
      </c>
      <c r="C139" s="168"/>
      <c r="D139" s="168"/>
      <c r="E139" s="198" t="s">
        <v>439</v>
      </c>
      <c r="F139" s="204">
        <v>18.7</v>
      </c>
      <c r="H139" s="167" t="s">
        <v>35</v>
      </c>
      <c r="I139" s="168"/>
      <c r="J139" s="168"/>
      <c r="K139" s="167" t="s">
        <v>35</v>
      </c>
      <c r="L139" s="172" t="s">
        <v>35</v>
      </c>
      <c r="N139" s="167" t="str">
        <f t="shared" si="3"/>
        <v/>
      </c>
      <c r="O139" s="168"/>
      <c r="P139" s="169"/>
      <c r="Q139" s="204" t="str">
        <f t="shared" si="4"/>
        <v/>
      </c>
      <c r="R139" s="204" t="str">
        <f t="shared" si="4"/>
        <v/>
      </c>
    </row>
    <row r="140" spans="2:18" x14ac:dyDescent="0.25">
      <c r="B140" s="167" t="s">
        <v>427</v>
      </c>
      <c r="C140" s="168"/>
      <c r="D140" s="168"/>
      <c r="E140" s="174" t="s">
        <v>428</v>
      </c>
      <c r="F140" s="204">
        <v>0.7</v>
      </c>
      <c r="H140" s="167" t="s">
        <v>35</v>
      </c>
      <c r="I140" s="168"/>
      <c r="J140" s="168"/>
      <c r="K140" s="167" t="s">
        <v>35</v>
      </c>
      <c r="L140" s="172" t="s">
        <v>35</v>
      </c>
      <c r="N140" s="167" t="str">
        <f t="shared" si="3"/>
        <v/>
      </c>
      <c r="O140" s="168"/>
      <c r="P140" s="169"/>
      <c r="Q140" s="204" t="str">
        <f t="shared" si="4"/>
        <v/>
      </c>
      <c r="R140" s="204" t="str">
        <f t="shared" si="4"/>
        <v/>
      </c>
    </row>
    <row r="141" spans="2:18" x14ac:dyDescent="0.25">
      <c r="B141" s="205" t="s">
        <v>429</v>
      </c>
      <c r="C141" s="168"/>
      <c r="D141" s="168"/>
      <c r="E141" s="174" t="s">
        <v>428</v>
      </c>
      <c r="F141" s="204">
        <v>0.7</v>
      </c>
      <c r="H141" s="167" t="s">
        <v>35</v>
      </c>
      <c r="I141" s="168"/>
      <c r="J141" s="168"/>
      <c r="K141" s="167" t="s">
        <v>35</v>
      </c>
      <c r="L141" s="172" t="s">
        <v>35</v>
      </c>
      <c r="N141" s="167" t="str">
        <f t="shared" si="3"/>
        <v/>
      </c>
      <c r="O141" s="168"/>
      <c r="P141" s="169"/>
      <c r="Q141" s="204" t="str">
        <f t="shared" si="4"/>
        <v/>
      </c>
      <c r="R141" s="204" t="str">
        <f t="shared" si="4"/>
        <v/>
      </c>
    </row>
    <row r="142" spans="2:18" x14ac:dyDescent="0.25">
      <c r="B142" s="167" t="s">
        <v>430</v>
      </c>
      <c r="C142" s="168"/>
      <c r="D142" s="168"/>
      <c r="E142" s="198" t="s">
        <v>176</v>
      </c>
      <c r="F142" s="204">
        <v>2.8</v>
      </c>
      <c r="H142" s="167" t="s">
        <v>35</v>
      </c>
      <c r="I142" s="168"/>
      <c r="J142" s="168"/>
      <c r="K142" s="167" t="s">
        <v>35</v>
      </c>
      <c r="L142" s="172" t="s">
        <v>35</v>
      </c>
      <c r="N142" s="167" t="str">
        <f t="shared" si="3"/>
        <v/>
      </c>
      <c r="O142" s="168"/>
      <c r="P142" s="169"/>
      <c r="Q142" s="204" t="str">
        <f t="shared" si="4"/>
        <v/>
      </c>
      <c r="R142" s="204" t="str">
        <f t="shared" si="4"/>
        <v/>
      </c>
    </row>
    <row r="143" spans="2:18" x14ac:dyDescent="0.25">
      <c r="B143" s="167" t="s">
        <v>400</v>
      </c>
      <c r="C143" s="168"/>
      <c r="D143" s="168"/>
      <c r="E143" s="198" t="s">
        <v>438</v>
      </c>
      <c r="F143" s="204">
        <v>1.7</v>
      </c>
      <c r="H143" s="167" t="s">
        <v>35</v>
      </c>
      <c r="I143" s="168"/>
      <c r="J143" s="168"/>
      <c r="K143" s="167" t="s">
        <v>35</v>
      </c>
      <c r="L143" s="172" t="s">
        <v>35</v>
      </c>
      <c r="N143" s="167" t="str">
        <f t="shared" si="3"/>
        <v/>
      </c>
      <c r="O143" s="168"/>
      <c r="P143" s="169"/>
      <c r="Q143" s="204" t="str">
        <f t="shared" si="4"/>
        <v/>
      </c>
      <c r="R143" s="204" t="str">
        <f t="shared" si="4"/>
        <v/>
      </c>
    </row>
    <row r="144" spans="2:18" x14ac:dyDescent="0.25">
      <c r="B144" s="201" t="s">
        <v>401</v>
      </c>
      <c r="C144" s="168"/>
      <c r="D144" s="168"/>
      <c r="E144" s="198" t="s">
        <v>438</v>
      </c>
      <c r="F144" s="204">
        <v>6.9</v>
      </c>
      <c r="H144" s="167" t="s">
        <v>35</v>
      </c>
      <c r="I144" s="168"/>
      <c r="J144" s="168"/>
      <c r="K144" s="167" t="s">
        <v>35</v>
      </c>
      <c r="L144" s="172" t="s">
        <v>35</v>
      </c>
      <c r="N144" s="167" t="str">
        <f t="shared" si="3"/>
        <v/>
      </c>
      <c r="O144" s="168"/>
      <c r="P144" s="169"/>
      <c r="Q144" s="204" t="str">
        <f t="shared" si="4"/>
        <v/>
      </c>
      <c r="R144" s="204" t="str">
        <f t="shared" si="4"/>
        <v/>
      </c>
    </row>
    <row r="145" spans="2:18" x14ac:dyDescent="0.25">
      <c r="B145" s="201" t="s">
        <v>431</v>
      </c>
      <c r="C145" s="168"/>
      <c r="D145" s="168"/>
      <c r="E145" s="198" t="s">
        <v>439</v>
      </c>
      <c r="F145" s="204">
        <v>3.6</v>
      </c>
      <c r="H145" s="167" t="s">
        <v>35</v>
      </c>
      <c r="I145" s="168"/>
      <c r="J145" s="168"/>
      <c r="K145" s="167" t="s">
        <v>35</v>
      </c>
      <c r="L145" s="172" t="s">
        <v>35</v>
      </c>
      <c r="N145" s="167" t="str">
        <f t="shared" si="3"/>
        <v/>
      </c>
      <c r="O145" s="168"/>
      <c r="P145" s="169"/>
      <c r="Q145" s="204" t="str">
        <f t="shared" si="4"/>
        <v/>
      </c>
      <c r="R145" s="204" t="str">
        <f t="shared" si="4"/>
        <v/>
      </c>
    </row>
    <row r="146" spans="2:18" x14ac:dyDescent="0.25">
      <c r="B146" s="201" t="s">
        <v>402</v>
      </c>
      <c r="C146" s="168"/>
      <c r="D146" s="168"/>
      <c r="E146" s="174" t="s">
        <v>403</v>
      </c>
      <c r="F146" s="204">
        <v>3.4</v>
      </c>
      <c r="H146" s="167" t="s">
        <v>35</v>
      </c>
      <c r="I146" s="168"/>
      <c r="J146" s="168"/>
      <c r="K146" s="167" t="s">
        <v>35</v>
      </c>
      <c r="L146" s="172" t="s">
        <v>35</v>
      </c>
      <c r="N146" s="167" t="str">
        <f t="shared" si="3"/>
        <v/>
      </c>
      <c r="O146" s="168"/>
      <c r="P146" s="169"/>
      <c r="Q146" s="204" t="str">
        <f t="shared" si="4"/>
        <v/>
      </c>
      <c r="R146" s="204" t="str">
        <f t="shared" si="4"/>
        <v/>
      </c>
    </row>
    <row r="147" spans="2:18" x14ac:dyDescent="0.25">
      <c r="B147" s="201" t="s">
        <v>404</v>
      </c>
      <c r="C147" s="168"/>
      <c r="D147" s="168"/>
      <c r="E147" s="198" t="s">
        <v>438</v>
      </c>
      <c r="F147" s="204">
        <v>5.2</v>
      </c>
      <c r="H147" s="167" t="s">
        <v>35</v>
      </c>
      <c r="I147" s="168"/>
      <c r="J147" s="168"/>
      <c r="K147" s="167" t="s">
        <v>35</v>
      </c>
      <c r="L147" s="172" t="s">
        <v>35</v>
      </c>
      <c r="N147" s="167" t="str">
        <f t="shared" si="3"/>
        <v/>
      </c>
      <c r="O147" s="168"/>
      <c r="P147" s="169"/>
      <c r="Q147" s="204" t="str">
        <f t="shared" si="4"/>
        <v/>
      </c>
      <c r="R147" s="204" t="str">
        <f t="shared" si="4"/>
        <v/>
      </c>
    </row>
    <row r="148" spans="2:18" x14ac:dyDescent="0.25">
      <c r="B148" s="201" t="s">
        <v>405</v>
      </c>
      <c r="C148" s="168"/>
      <c r="D148" s="168"/>
      <c r="E148" s="198" t="s">
        <v>438</v>
      </c>
      <c r="F148" s="204">
        <v>3.4</v>
      </c>
      <c r="H148" s="167" t="s">
        <v>35</v>
      </c>
      <c r="I148" s="168"/>
      <c r="J148" s="168"/>
      <c r="K148" s="167" t="s">
        <v>35</v>
      </c>
      <c r="L148" s="172" t="s">
        <v>35</v>
      </c>
      <c r="N148" s="167" t="str">
        <f t="shared" si="3"/>
        <v/>
      </c>
      <c r="O148" s="168"/>
      <c r="P148" s="169"/>
      <c r="Q148" s="204" t="str">
        <f t="shared" si="4"/>
        <v/>
      </c>
      <c r="R148" s="204" t="str">
        <f t="shared" si="4"/>
        <v/>
      </c>
    </row>
    <row r="149" spans="2:18" x14ac:dyDescent="0.25">
      <c r="B149" s="205" t="s">
        <v>406</v>
      </c>
      <c r="C149" s="168"/>
      <c r="D149" s="168"/>
      <c r="E149" s="198" t="s">
        <v>438</v>
      </c>
      <c r="F149" s="204">
        <v>17.2</v>
      </c>
      <c r="H149" s="167" t="s">
        <v>35</v>
      </c>
      <c r="I149" s="168"/>
      <c r="J149" s="168"/>
      <c r="K149" s="167" t="s">
        <v>35</v>
      </c>
      <c r="L149" s="172" t="s">
        <v>35</v>
      </c>
      <c r="N149" s="167" t="str">
        <f t="shared" si="3"/>
        <v/>
      </c>
      <c r="O149" s="168"/>
      <c r="P149" s="169"/>
      <c r="Q149" s="204" t="str">
        <f t="shared" si="4"/>
        <v/>
      </c>
      <c r="R149" s="204" t="str">
        <f t="shared" si="4"/>
        <v/>
      </c>
    </row>
    <row r="150" spans="2:18" x14ac:dyDescent="0.25">
      <c r="B150" s="201" t="s">
        <v>432</v>
      </c>
      <c r="C150" s="168"/>
      <c r="D150" s="168"/>
      <c r="E150" s="198" t="s">
        <v>439</v>
      </c>
      <c r="F150" s="204">
        <v>28.6</v>
      </c>
      <c r="H150" s="167" t="s">
        <v>35</v>
      </c>
      <c r="I150" s="168"/>
      <c r="J150" s="168"/>
      <c r="K150" s="167" t="s">
        <v>35</v>
      </c>
      <c r="L150" s="172" t="s">
        <v>35</v>
      </c>
      <c r="N150" s="167" t="str">
        <f t="shared" si="3"/>
        <v/>
      </c>
      <c r="O150" s="168"/>
      <c r="P150" s="169"/>
      <c r="Q150" s="204" t="str">
        <f t="shared" si="4"/>
        <v/>
      </c>
      <c r="R150" s="204" t="str">
        <f t="shared" si="4"/>
        <v/>
      </c>
    </row>
    <row r="151" spans="2:18" x14ac:dyDescent="0.25">
      <c r="B151" s="201" t="s">
        <v>433</v>
      </c>
      <c r="C151" s="168"/>
      <c r="D151" s="168"/>
      <c r="E151" s="198" t="s">
        <v>439</v>
      </c>
      <c r="F151" s="204">
        <v>18.399999999999999</v>
      </c>
      <c r="H151" s="167" t="s">
        <v>35</v>
      </c>
      <c r="I151" s="168"/>
      <c r="J151" s="168"/>
      <c r="K151" s="167" t="s">
        <v>35</v>
      </c>
      <c r="L151" s="172" t="s">
        <v>35</v>
      </c>
      <c r="N151" s="167" t="str">
        <f t="shared" si="3"/>
        <v/>
      </c>
      <c r="O151" s="168"/>
      <c r="P151" s="169"/>
      <c r="Q151" s="204" t="str">
        <f t="shared" si="4"/>
        <v/>
      </c>
      <c r="R151" s="204" t="str">
        <f t="shared" si="4"/>
        <v/>
      </c>
    </row>
    <row r="152" spans="2:18" x14ac:dyDescent="0.25">
      <c r="B152" s="201" t="s">
        <v>434</v>
      </c>
      <c r="C152" s="168"/>
      <c r="D152" s="168"/>
      <c r="E152" s="198" t="s">
        <v>439</v>
      </c>
      <c r="F152" s="204">
        <v>14.9</v>
      </c>
      <c r="H152" s="167" t="s">
        <v>35</v>
      </c>
      <c r="I152" s="168"/>
      <c r="J152" s="168"/>
      <c r="K152" s="167" t="s">
        <v>35</v>
      </c>
      <c r="L152" s="172" t="s">
        <v>35</v>
      </c>
      <c r="N152" s="167" t="str">
        <f t="shared" si="3"/>
        <v/>
      </c>
      <c r="O152" s="168"/>
      <c r="P152" s="169"/>
      <c r="Q152" s="204" t="str">
        <f t="shared" si="4"/>
        <v/>
      </c>
      <c r="R152" s="204" t="str">
        <f t="shared" si="4"/>
        <v/>
      </c>
    </row>
    <row r="153" spans="2:18" x14ac:dyDescent="0.25">
      <c r="B153" s="201" t="s">
        <v>435</v>
      </c>
      <c r="C153" s="168"/>
      <c r="D153" s="168"/>
      <c r="E153" s="198" t="s">
        <v>439</v>
      </c>
      <c r="F153" s="204">
        <v>11.8</v>
      </c>
      <c r="H153" s="167" t="s">
        <v>35</v>
      </c>
      <c r="I153" s="168"/>
      <c r="J153" s="168"/>
      <c r="K153" s="167" t="s">
        <v>35</v>
      </c>
      <c r="L153" s="172" t="s">
        <v>35</v>
      </c>
      <c r="N153" s="167" t="str">
        <f t="shared" si="3"/>
        <v/>
      </c>
      <c r="O153" s="168"/>
      <c r="P153" s="169"/>
      <c r="Q153" s="204" t="str">
        <f t="shared" si="4"/>
        <v/>
      </c>
      <c r="R153" s="204" t="str">
        <f t="shared" si="4"/>
        <v/>
      </c>
    </row>
    <row r="154" spans="2:18" x14ac:dyDescent="0.25">
      <c r="B154" s="167" t="s">
        <v>407</v>
      </c>
      <c r="C154" s="168"/>
      <c r="D154" s="168"/>
      <c r="E154" s="198" t="s">
        <v>438</v>
      </c>
      <c r="F154" s="204">
        <v>8.6999999999999993</v>
      </c>
      <c r="H154" s="167" t="s">
        <v>35</v>
      </c>
      <c r="I154" s="168"/>
      <c r="J154" s="168"/>
      <c r="K154" s="167" t="s">
        <v>35</v>
      </c>
      <c r="L154" s="172" t="s">
        <v>35</v>
      </c>
      <c r="N154" s="167" t="str">
        <f t="shared" si="3"/>
        <v/>
      </c>
      <c r="O154" s="168"/>
      <c r="P154" s="169"/>
      <c r="Q154" s="204" t="str">
        <f t="shared" si="4"/>
        <v/>
      </c>
      <c r="R154" s="204" t="str">
        <f t="shared" si="4"/>
        <v/>
      </c>
    </row>
    <row r="155" spans="2:18" x14ac:dyDescent="0.25">
      <c r="B155" s="167" t="s">
        <v>408</v>
      </c>
      <c r="C155" s="168"/>
      <c r="D155" s="168"/>
      <c r="E155" s="198" t="s">
        <v>438</v>
      </c>
      <c r="F155" s="204">
        <v>5.3</v>
      </c>
      <c r="H155" s="167" t="s">
        <v>35</v>
      </c>
      <c r="I155" s="168"/>
      <c r="J155" s="168"/>
      <c r="K155" s="167" t="s">
        <v>35</v>
      </c>
      <c r="L155" s="172" t="s">
        <v>35</v>
      </c>
      <c r="N155" s="167" t="str">
        <f t="shared" si="3"/>
        <v/>
      </c>
      <c r="O155" s="168"/>
      <c r="P155" s="169"/>
      <c r="Q155" s="204" t="str">
        <f t="shared" si="4"/>
        <v/>
      </c>
      <c r="R155" s="204" t="str">
        <f t="shared" si="4"/>
        <v/>
      </c>
    </row>
    <row r="156" spans="2:18" x14ac:dyDescent="0.25">
      <c r="B156" s="167" t="s">
        <v>436</v>
      </c>
      <c r="C156" s="168"/>
      <c r="D156" s="168"/>
      <c r="E156" s="198" t="s">
        <v>438</v>
      </c>
      <c r="F156" s="204">
        <v>8.6</v>
      </c>
      <c r="H156" s="167" t="s">
        <v>35</v>
      </c>
      <c r="I156" s="168"/>
      <c r="J156" s="168"/>
      <c r="K156" s="167" t="s">
        <v>35</v>
      </c>
      <c r="L156" s="172" t="s">
        <v>35</v>
      </c>
      <c r="N156" s="167" t="str">
        <f>+IF($S$7=2,B156,IF($S$7=3,H156,""))</f>
        <v/>
      </c>
      <c r="O156" s="168"/>
      <c r="P156" s="169"/>
      <c r="Q156" s="204" t="str">
        <f t="shared" ref="Q156:R159" si="5">+IF($S$7=2,E156,IF($S$7=3,K156,""))</f>
        <v/>
      </c>
      <c r="R156" s="204" t="str">
        <f t="shared" si="5"/>
        <v/>
      </c>
    </row>
    <row r="157" spans="2:18" x14ac:dyDescent="0.25">
      <c r="B157" s="167" t="s">
        <v>251</v>
      </c>
      <c r="C157" s="168"/>
      <c r="D157" s="168"/>
      <c r="E157" s="198" t="s">
        <v>438</v>
      </c>
      <c r="F157" s="204">
        <v>2.2000000000000002</v>
      </c>
      <c r="H157" s="167" t="s">
        <v>35</v>
      </c>
      <c r="I157" s="168"/>
      <c r="J157" s="168"/>
      <c r="K157" s="167" t="s">
        <v>35</v>
      </c>
      <c r="L157" s="172" t="s">
        <v>35</v>
      </c>
      <c r="N157" s="167" t="str">
        <f>+IF($S$7=2,B157,IF($S$7=3,H157,""))</f>
        <v/>
      </c>
      <c r="O157" s="168"/>
      <c r="P157" s="169"/>
      <c r="Q157" s="204" t="str">
        <f t="shared" si="5"/>
        <v/>
      </c>
      <c r="R157" s="204" t="str">
        <f t="shared" si="5"/>
        <v/>
      </c>
    </row>
    <row r="158" spans="2:18" x14ac:dyDescent="0.25">
      <c r="B158" s="167" t="s">
        <v>437</v>
      </c>
      <c r="C158" s="168"/>
      <c r="D158" s="168"/>
      <c r="E158" s="198" t="s">
        <v>438</v>
      </c>
      <c r="F158" s="204">
        <v>2.2000000000000002</v>
      </c>
      <c r="H158" s="167" t="s">
        <v>35</v>
      </c>
      <c r="I158" s="168"/>
      <c r="J158" s="168"/>
      <c r="K158" s="167" t="s">
        <v>35</v>
      </c>
      <c r="L158" s="172" t="s">
        <v>35</v>
      </c>
      <c r="N158" s="167" t="str">
        <f>+IF($S$7=2,B158,IF($S$7=3,H158,""))</f>
        <v/>
      </c>
      <c r="O158" s="168"/>
      <c r="P158" s="169"/>
      <c r="Q158" s="204" t="str">
        <f t="shared" si="5"/>
        <v/>
      </c>
      <c r="R158" s="204" t="str">
        <f t="shared" si="5"/>
        <v/>
      </c>
    </row>
    <row r="159" spans="2:18" x14ac:dyDescent="0.25">
      <c r="B159" s="85" t="s">
        <v>21</v>
      </c>
      <c r="C159" s="170"/>
      <c r="D159" s="170"/>
      <c r="E159" s="175" t="s">
        <v>20</v>
      </c>
      <c r="F159" s="171" t="s">
        <v>35</v>
      </c>
      <c r="H159" s="85" t="s">
        <v>35</v>
      </c>
      <c r="I159" s="170"/>
      <c r="J159" s="170"/>
      <c r="K159" s="85" t="s">
        <v>35</v>
      </c>
      <c r="L159" s="84" t="s">
        <v>35</v>
      </c>
      <c r="N159" s="85" t="str">
        <f>+IF($S$7=2,B159,IF($S$7=3,H159,""))</f>
        <v/>
      </c>
      <c r="O159" s="170"/>
      <c r="P159" s="171"/>
      <c r="Q159" s="217" t="str">
        <f t="shared" si="5"/>
        <v/>
      </c>
      <c r="R159" s="217" t="str">
        <f t="shared" si="5"/>
        <v/>
      </c>
    </row>
    <row r="172" spans="11:11" x14ac:dyDescent="0.25">
      <c r="K172" s="136"/>
    </row>
    <row r="173" spans="11:11" x14ac:dyDescent="0.25">
      <c r="K173" s="136"/>
    </row>
    <row r="174" spans="11:11" x14ac:dyDescent="0.25">
      <c r="K174" s="136"/>
    </row>
    <row r="175" spans="11:11" x14ac:dyDescent="0.25">
      <c r="K175" s="136"/>
    </row>
    <row r="176" spans="11:11" x14ac:dyDescent="0.25">
      <c r="K176" s="136"/>
    </row>
    <row r="177" spans="10:11" x14ac:dyDescent="0.25">
      <c r="K177" s="136"/>
    </row>
    <row r="178" spans="10:11" x14ac:dyDescent="0.25">
      <c r="K178" s="136"/>
    </row>
    <row r="179" spans="10:11" x14ac:dyDescent="0.25">
      <c r="K179" s="136"/>
    </row>
    <row r="180" spans="10:11" x14ac:dyDescent="0.25">
      <c r="K180" s="136"/>
    </row>
    <row r="181" spans="10:11" x14ac:dyDescent="0.25">
      <c r="J181" s="136"/>
      <c r="K181" s="136"/>
    </row>
    <row r="182" spans="10:11" x14ac:dyDescent="0.25">
      <c r="J182" s="136"/>
      <c r="K182" s="136"/>
    </row>
    <row r="183" spans="10:11" x14ac:dyDescent="0.25">
      <c r="J183" s="136"/>
      <c r="K183" s="136"/>
    </row>
    <row r="184" spans="10:11" x14ac:dyDescent="0.25">
      <c r="J184" s="136"/>
      <c r="K184" s="136"/>
    </row>
    <row r="185" spans="10:11" x14ac:dyDescent="0.25">
      <c r="J185" s="136"/>
      <c r="K185" s="136"/>
    </row>
    <row r="186" spans="10:11" x14ac:dyDescent="0.25">
      <c r="J186" s="136"/>
      <c r="K186" s="136"/>
    </row>
    <row r="187" spans="10:11" x14ac:dyDescent="0.25">
      <c r="J187" s="136"/>
      <c r="K187" s="136"/>
    </row>
    <row r="188" spans="10:11" x14ac:dyDescent="0.25">
      <c r="J188" s="136"/>
      <c r="K188" s="136"/>
    </row>
    <row r="189" spans="10:11" x14ac:dyDescent="0.25">
      <c r="J189" s="136"/>
      <c r="K189" s="136"/>
    </row>
    <row r="190" spans="10:11" x14ac:dyDescent="0.25">
      <c r="J190" s="136"/>
      <c r="K190" s="136"/>
    </row>
    <row r="191" spans="10:11" x14ac:dyDescent="0.25">
      <c r="J191" s="136"/>
      <c r="K191" s="136"/>
    </row>
    <row r="192" spans="10:11" x14ac:dyDescent="0.25">
      <c r="J192" s="136"/>
      <c r="K192" s="136"/>
    </row>
    <row r="193" spans="10:11" x14ac:dyDescent="0.25">
      <c r="J193" s="136"/>
      <c r="K193" s="136"/>
    </row>
    <row r="194" spans="10:11" x14ac:dyDescent="0.25">
      <c r="J194" s="136"/>
      <c r="K194" s="136"/>
    </row>
    <row r="195" spans="10:11" x14ac:dyDescent="0.25">
      <c r="J195" s="136"/>
      <c r="K195" s="136"/>
    </row>
    <row r="196" spans="10:11" x14ac:dyDescent="0.25">
      <c r="J196" s="136"/>
      <c r="K196" s="136"/>
    </row>
    <row r="197" spans="10:11" x14ac:dyDescent="0.25">
      <c r="J197" s="136"/>
      <c r="K197" s="136"/>
    </row>
    <row r="198" spans="10:11" x14ac:dyDescent="0.25">
      <c r="J198" s="136"/>
      <c r="K198" s="136"/>
    </row>
    <row r="199" spans="10:11" x14ac:dyDescent="0.25">
      <c r="J199" s="136"/>
      <c r="K199" s="136"/>
    </row>
    <row r="200" spans="10:11" x14ac:dyDescent="0.25">
      <c r="J200" s="136"/>
      <c r="K200" s="136"/>
    </row>
    <row r="201" spans="10:11" x14ac:dyDescent="0.25">
      <c r="J201" s="136"/>
      <c r="K201" s="136"/>
    </row>
    <row r="202" spans="10:11" x14ac:dyDescent="0.25">
      <c r="J202" s="136"/>
      <c r="K202" s="136"/>
    </row>
  </sheetData>
  <sheetProtection password="CDF4" sheet="1"/>
  <autoFilter ref="B90:F159" xr:uid="{00000000-0009-0000-0000-000008000000}"/>
  <mergeCells count="34">
    <mergeCell ref="A1:I1"/>
    <mergeCell ref="E14:F14"/>
    <mergeCell ref="B10:D10"/>
    <mergeCell ref="E10:F10"/>
    <mergeCell ref="E11:F11"/>
    <mergeCell ref="E12:F12"/>
    <mergeCell ref="E13:F13"/>
    <mergeCell ref="B18:D18"/>
    <mergeCell ref="E18:F18"/>
    <mergeCell ref="H88:L88"/>
    <mergeCell ref="B72:H72"/>
    <mergeCell ref="B73:D74"/>
    <mergeCell ref="E73:F73"/>
    <mergeCell ref="G73:H73"/>
    <mergeCell ref="E19:F19"/>
    <mergeCell ref="E20:F20"/>
    <mergeCell ref="E21:F21"/>
    <mergeCell ref="B62:F62"/>
    <mergeCell ref="E22:F22"/>
    <mergeCell ref="J26:J27"/>
    <mergeCell ref="K26:L26"/>
    <mergeCell ref="H27:I27"/>
    <mergeCell ref="B26:D27"/>
    <mergeCell ref="M26:M27"/>
    <mergeCell ref="I72:J73"/>
    <mergeCell ref="N88:R88"/>
    <mergeCell ref="B89:D89"/>
    <mergeCell ref="H89:J89"/>
    <mergeCell ref="N89:P89"/>
    <mergeCell ref="Q89:R89"/>
    <mergeCell ref="B75:C75"/>
    <mergeCell ref="B85:C85"/>
    <mergeCell ref="B88:F88"/>
    <mergeCell ref="F26:I26"/>
  </mergeCells>
  <phoneticPr fontId="4" type="noConversion"/>
  <pageMargins left="0.75" right="0.75" top="0.77" bottom="0.49" header="0.5" footer="0.5"/>
  <pageSetup paperSize="9" scale="89" orientation="landscape"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7" r:id="rId4" name="Drop Down 23">
              <controlPr defaultSize="0" autoLine="0" autoPict="0">
                <anchor moveWithCells="1">
                  <from>
                    <xdr:col>1</xdr:col>
                    <xdr:colOff>7620</xdr:colOff>
                    <xdr:row>10</xdr:row>
                    <xdr:rowOff>0</xdr:rowOff>
                  </from>
                  <to>
                    <xdr:col>4</xdr:col>
                    <xdr:colOff>7620</xdr:colOff>
                    <xdr:row>11</xdr:row>
                    <xdr:rowOff>7620</xdr:rowOff>
                  </to>
                </anchor>
              </controlPr>
            </control>
          </mc:Choice>
        </mc:AlternateContent>
        <mc:AlternateContent xmlns:mc="http://schemas.openxmlformats.org/markup-compatibility/2006">
          <mc:Choice Requires="x14">
            <control shapeId="11288" r:id="rId5" name="Drop Down 24">
              <controlPr defaultSize="0" autoLine="0" autoPict="0">
                <anchor moveWithCells="1">
                  <from>
                    <xdr:col>1</xdr:col>
                    <xdr:colOff>7620</xdr:colOff>
                    <xdr:row>11</xdr:row>
                    <xdr:rowOff>7620</xdr:rowOff>
                  </from>
                  <to>
                    <xdr:col>4</xdr:col>
                    <xdr:colOff>0</xdr:colOff>
                    <xdr:row>12</xdr:row>
                    <xdr:rowOff>22860</xdr:rowOff>
                  </to>
                </anchor>
              </controlPr>
            </control>
          </mc:Choice>
        </mc:AlternateContent>
        <mc:AlternateContent xmlns:mc="http://schemas.openxmlformats.org/markup-compatibility/2006">
          <mc:Choice Requires="x14">
            <control shapeId="11289" r:id="rId6" name="Drop Down 25">
              <controlPr defaultSize="0" autoLine="0" autoPict="0">
                <anchor moveWithCells="1">
                  <from>
                    <xdr:col>1</xdr:col>
                    <xdr:colOff>7620</xdr:colOff>
                    <xdr:row>12</xdr:row>
                    <xdr:rowOff>0</xdr:rowOff>
                  </from>
                  <to>
                    <xdr:col>4</xdr:col>
                    <xdr:colOff>0</xdr:colOff>
                    <xdr:row>13</xdr:row>
                    <xdr:rowOff>7620</xdr:rowOff>
                  </to>
                </anchor>
              </controlPr>
            </control>
          </mc:Choice>
        </mc:AlternateContent>
        <mc:AlternateContent xmlns:mc="http://schemas.openxmlformats.org/markup-compatibility/2006">
          <mc:Choice Requires="x14">
            <control shapeId="11290" r:id="rId7" name="Drop Down 26">
              <controlPr defaultSize="0" autoLine="0" autoPict="0">
                <anchor moveWithCells="1">
                  <from>
                    <xdr:col>1</xdr:col>
                    <xdr:colOff>7620</xdr:colOff>
                    <xdr:row>18</xdr:row>
                    <xdr:rowOff>0</xdr:rowOff>
                  </from>
                  <to>
                    <xdr:col>4</xdr:col>
                    <xdr:colOff>7620</xdr:colOff>
                    <xdr:row>19</xdr:row>
                    <xdr:rowOff>7620</xdr:rowOff>
                  </to>
                </anchor>
              </controlPr>
            </control>
          </mc:Choice>
        </mc:AlternateContent>
        <mc:AlternateContent xmlns:mc="http://schemas.openxmlformats.org/markup-compatibility/2006">
          <mc:Choice Requires="x14">
            <control shapeId="11291" r:id="rId8" name="Drop Down 27">
              <controlPr defaultSize="0" autoLine="0" autoPict="0">
                <anchor moveWithCells="1">
                  <from>
                    <xdr:col>1</xdr:col>
                    <xdr:colOff>7620</xdr:colOff>
                    <xdr:row>19</xdr:row>
                    <xdr:rowOff>0</xdr:rowOff>
                  </from>
                  <to>
                    <xdr:col>4</xdr:col>
                    <xdr:colOff>7620</xdr:colOff>
                    <xdr:row>20</xdr:row>
                    <xdr:rowOff>7620</xdr:rowOff>
                  </to>
                </anchor>
              </controlPr>
            </control>
          </mc:Choice>
        </mc:AlternateContent>
        <mc:AlternateContent xmlns:mc="http://schemas.openxmlformats.org/markup-compatibility/2006">
          <mc:Choice Requires="x14">
            <control shapeId="11292" r:id="rId9" name="Drop Down 28">
              <controlPr defaultSize="0" autoLine="0" autoPict="0">
                <anchor moveWithCells="1">
                  <from>
                    <xdr:col>1</xdr:col>
                    <xdr:colOff>0</xdr:colOff>
                    <xdr:row>26</xdr:row>
                    <xdr:rowOff>152400</xdr:rowOff>
                  </from>
                  <to>
                    <xdr:col>3</xdr:col>
                    <xdr:colOff>944880</xdr:colOff>
                    <xdr:row>27</xdr:row>
                    <xdr:rowOff>160020</xdr:rowOff>
                  </to>
                </anchor>
              </controlPr>
            </control>
          </mc:Choice>
        </mc:AlternateContent>
        <mc:AlternateContent xmlns:mc="http://schemas.openxmlformats.org/markup-compatibility/2006">
          <mc:Choice Requires="x14">
            <control shapeId="11293" r:id="rId10" name="Drop Down 29">
              <controlPr defaultSize="0" autoLine="0" autoPict="0">
                <anchor moveWithCells="1">
                  <from>
                    <xdr:col>1</xdr:col>
                    <xdr:colOff>7620</xdr:colOff>
                    <xdr:row>20</xdr:row>
                    <xdr:rowOff>0</xdr:rowOff>
                  </from>
                  <to>
                    <xdr:col>4</xdr:col>
                    <xdr:colOff>0</xdr:colOff>
                    <xdr:row>21</xdr:row>
                    <xdr:rowOff>7620</xdr:rowOff>
                  </to>
                </anchor>
              </controlPr>
            </control>
          </mc:Choice>
        </mc:AlternateContent>
        <mc:AlternateContent xmlns:mc="http://schemas.openxmlformats.org/markup-compatibility/2006">
          <mc:Choice Requires="x14">
            <control shapeId="11294" r:id="rId11" name="Drop Down 30">
              <controlPr defaultSize="0" autoLine="0" autoPict="0">
                <anchor moveWithCells="1">
                  <from>
                    <xdr:col>2</xdr:col>
                    <xdr:colOff>693420</xdr:colOff>
                    <xdr:row>5</xdr:row>
                    <xdr:rowOff>144780</xdr:rowOff>
                  </from>
                  <to>
                    <xdr:col>6</xdr:col>
                    <xdr:colOff>350520</xdr:colOff>
                    <xdr:row>7</xdr:row>
                    <xdr:rowOff>45720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651266-7A99-4399-A846-C0E35AA195AA}">
  <ds:schemaRefs>
    <ds:schemaRef ds:uri="http://schemas.microsoft.com/office/2006/metadata/longProperties"/>
  </ds:schemaRefs>
</ds:datastoreItem>
</file>

<file path=customXml/itemProps2.xml><?xml version="1.0" encoding="utf-8"?>
<ds:datastoreItem xmlns:ds="http://schemas.openxmlformats.org/officeDocument/2006/customXml" ds:itemID="{62193EE3-8FCC-46AB-8BEC-B73B02A97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613CA6C-D761-40AA-84F8-8A3735269DBB}">
  <ds:schemaRefs>
    <ds:schemaRef ds:uri="http://schemas.microsoft.com/sharepoint/v3"/>
    <ds:schemaRef ds:uri="http://purl.org/dc/elements/1.1/"/>
    <ds:schemaRef ds:uri="3a493a26-741a-42fd-8777-f88520cae55b"/>
    <ds:schemaRef ds:uri="http://www.w3.org/XML/1998/namespace"/>
    <ds:schemaRef ds:uri="dcf13a8c-8bd3-4ac7-8c19-6244a771e9dd"/>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44F56143-C0AD-4B48-85DF-E9BA8C874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Welcome</vt:lpstr>
      <vt:lpstr>Summary</vt:lpstr>
      <vt:lpstr>June 2009 Summary</vt:lpstr>
      <vt:lpstr>Sewer</vt:lpstr>
      <vt:lpstr>Water</vt:lpstr>
      <vt:lpstr>Open Space</vt:lpstr>
      <vt:lpstr>Peds &amp; Bikes</vt:lpstr>
      <vt:lpstr>Car Parking</vt:lpstr>
      <vt:lpstr>Roads</vt:lpstr>
      <vt:lpstr>Storm Water</vt:lpstr>
      <vt:lpstr>Waivers</vt:lpstr>
      <vt:lpstr>Waiver 6</vt:lpstr>
      <vt:lpstr>Amendments</vt:lpstr>
      <vt:lpstr>Waivers!OLE_LINK14</vt:lpstr>
      <vt:lpstr>Waivers!OLE_LINK16</vt:lpstr>
      <vt:lpstr>Waivers!OLE_LINK18</vt:lpstr>
      <vt:lpstr>Amendments!Print_Area</vt:lpstr>
      <vt:lpstr>'Car Parking'!Print_Area</vt:lpstr>
      <vt:lpstr>'June 2009 Summary'!Print_Area</vt:lpstr>
      <vt:lpstr>'Open Space'!Print_Area</vt:lpstr>
      <vt:lpstr>'Peds &amp; Bikes'!Print_Area</vt:lpstr>
      <vt:lpstr>Roads!Print_Area</vt:lpstr>
      <vt:lpstr>Sewer!Print_Area</vt:lpstr>
      <vt:lpstr>'Storm Water'!Print_Area</vt:lpstr>
      <vt:lpstr>Summary!Print_Area</vt:lpstr>
      <vt:lpstr>Waivers!Print_Area</vt:lpstr>
      <vt:lpstr>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Mark Sulovski</cp:lastModifiedBy>
  <cp:lastPrinted>2013-03-25T00:03:12Z</cp:lastPrinted>
  <dcterms:created xsi:type="dcterms:W3CDTF">2008-08-04T21:17:38Z</dcterms:created>
  <dcterms:modified xsi:type="dcterms:W3CDTF">2024-08-26T23:51:49Z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